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Default Extension="wmf" ContentType="image/x-wmf"/>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Default Extension="emf" ContentType="image/x-emf"/>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70" yWindow="45" windowWidth="19950" windowHeight="9510" tabRatio="672"/>
  </bookViews>
  <sheets>
    <sheet name="Cotizador" sheetId="9" r:id="rId1"/>
    <sheet name="Captura" sheetId="37" state="hidden" r:id="rId2"/>
    <sheet name="Cotizador QT" sheetId="8" state="hidden" r:id="rId3"/>
    <sheet name="Cuotas QT" sheetId="5" state="hidden" r:id="rId4"/>
    <sheet name="TABLA FACTOR A LARGO PLAZO QT" sheetId="3" state="hidden" r:id="rId5"/>
    <sheet name="TABLA RECARGO POR PAGO FRACC QT" sheetId="4" state="hidden" r:id="rId6"/>
    <sheet name="Cotizador AXA Un año" sheetId="11" state="hidden" r:id="rId7"/>
    <sheet name="Cotizador AXA p2" sheetId="15" state="hidden" r:id="rId8"/>
    <sheet name="Selector GNP" sheetId="27" state="hidden" r:id="rId9"/>
    <sheet name="Cotizador GNP p1 11 y 12" sheetId="19" state="hidden" r:id="rId10"/>
    <sheet name="Cuotas GNP p1 11 y 12" sheetId="20" state="hidden" r:id="rId11"/>
    <sheet name="FACTOR LP GNP p1 11 y 12" sheetId="21" state="hidden" r:id="rId12"/>
    <sheet name="RECARGO P FRACC GNP p1 11 y 12" sheetId="22" state="hidden" r:id="rId13"/>
    <sheet name="Cotizador GNP p1 13" sheetId="23" state="hidden" r:id="rId14"/>
    <sheet name="Cotizador GNP p2 11 y 12" sheetId="28" state="hidden" r:id="rId15"/>
    <sheet name="Cotizador GNP p2 13" sheetId="32" state="hidden" r:id="rId16"/>
    <sheet name="Cuotas GNP p2 13" sheetId="33" state="hidden" r:id="rId17"/>
    <sheet name="FACTOR LP GNP p2 13" sheetId="34" state="hidden" r:id="rId18"/>
    <sheet name="RECARGO P FRACC GNP p2 13" sheetId="35" state="hidden" r:id="rId19"/>
    <sheet name="Cuotas GNP p2 11 y 12" sheetId="29" state="hidden" r:id="rId20"/>
    <sheet name="FACTOR GNP LP p2 11 y 12" sheetId="30" state="hidden" r:id="rId21"/>
    <sheet name="RECARGO P FRACC GNP p2 11 y 12" sheetId="31" state="hidden" r:id="rId22"/>
    <sheet name="Cuotas GNP p1 13" sheetId="24" state="hidden" r:id="rId23"/>
    <sheet name="FACTOR LP GNP p1 13" sheetId="25" state="hidden" r:id="rId24"/>
    <sheet name="RECARGO P FRACC GNP p1 13" sheetId="26" state="hidden" r:id="rId25"/>
    <sheet name="Cuotas AXA p2" sheetId="16" state="hidden" r:id="rId26"/>
    <sheet name="TABLA FACTOR LP AXA p2 " sheetId="17" state="hidden" r:id="rId27"/>
    <sheet name="TABLA RECARGO P FRACC AXA p2 " sheetId="18" state="hidden" r:id="rId28"/>
    <sheet name="Cuotas AXA un año" sheetId="12" state="hidden" r:id="rId29"/>
    <sheet name="TABLA FACTOR LP AXA un año " sheetId="13" state="hidden" r:id="rId30"/>
    <sheet name="TABLA RECARGO P FRACC AXA un añ" sheetId="14" state="hidden" r:id="rId31"/>
    <sheet name="C.C. AXA" sheetId="41" r:id="rId32"/>
    <sheet name="C.C.Quálitas" sheetId="42" r:id="rId33"/>
    <sheet name="C.C.GNP" sheetId="43" r:id="rId34"/>
    <sheet name="Cálculo Mens. y dif. seguro" sheetId="45" r:id="rId35"/>
  </sheets>
  <definedNames>
    <definedName name="_xlnm._FilterDatabase" localSheetId="34" hidden="1">'Cálculo Mens. y dif. seguro'!$E$18:$E$19</definedName>
    <definedName name="_xlnm.Print_Area" localSheetId="34">'Cálculo Mens. y dif. seguro'!$A$1:$G$31</definedName>
    <definedName name="_xlnm.Print_Area" localSheetId="1">Captura!$A$1:$W$81</definedName>
    <definedName name="_xlnm.Print_Area" localSheetId="0">Cotizador!$B$1:$I$71</definedName>
    <definedName name="_xlnm.Print_Area" localSheetId="7">'Cotizador AXA p2'!$B$2:$G$23</definedName>
    <definedName name="_xlnm.Print_Area" localSheetId="6">'Cotizador AXA Un año'!$B$2:$G$23</definedName>
    <definedName name="_xlnm.Print_Area" localSheetId="9">'Cotizador GNP p1 11 y 12'!$A$1:$F$27</definedName>
    <definedName name="_xlnm.Print_Area" localSheetId="13">'Cotizador GNP p1 13'!$A$1:$F$27</definedName>
    <definedName name="_xlnm.Print_Area" localSheetId="14">'Cotizador GNP p2 11 y 12'!$A$1:$J$27</definedName>
    <definedName name="_xlnm.Print_Area" localSheetId="15">'Cotizador GNP p2 13'!$A$1:$J$27</definedName>
    <definedName name="_xlnm.Print_Area" localSheetId="2">'Cotizador QT'!$B$2:$G$23</definedName>
    <definedName name="_xlnm.Print_Area" localSheetId="25">'Cuotas AXA p2'!$A$23:$D$34</definedName>
    <definedName name="_xlnm.Print_Area" localSheetId="10">'Cuotas GNP p1 11 y 12'!$A$4:$E$31</definedName>
    <definedName name="_xlnm.Print_Area" localSheetId="22">'Cuotas GNP p1 13'!$A$4:$E$31</definedName>
    <definedName name="_xlnm.Print_Area" localSheetId="19">'Cuotas GNP p2 11 y 12'!$A$4:$E$31</definedName>
    <definedName name="_xlnm.Print_Area" localSheetId="16">'Cuotas GNP p2 13'!$A$4:$E$31</definedName>
    <definedName name="_xlnm.Print_Area" localSheetId="3">'Cuotas QT'!$A$23:$F$34</definedName>
    <definedName name="_xlnm.Print_Area" localSheetId="20">'FACTOR GNP LP p2 11 y 12'!$A$8:$B$70</definedName>
    <definedName name="_xlnm.Print_Area" localSheetId="11">'FACTOR LP GNP p1 11 y 12'!$A$8:$B$70</definedName>
    <definedName name="_xlnm.Print_Area" localSheetId="23">'FACTOR LP GNP p1 13'!$A$8:$B$70</definedName>
    <definedName name="_xlnm.Print_Area" localSheetId="17">'FACTOR LP GNP p2 13'!$A$8:$B$70</definedName>
    <definedName name="_xlnm.Print_Area" localSheetId="12">'RECARGO P FRACC GNP p1 11 y 12'!$B$11:$F$74</definedName>
    <definedName name="_xlnm.Print_Area" localSheetId="24">'RECARGO P FRACC GNP p1 13'!$B$11:$F$74</definedName>
    <definedName name="_xlnm.Print_Area" localSheetId="21">'RECARGO P FRACC GNP p2 11 y 12'!$B$11:$F$74</definedName>
    <definedName name="_xlnm.Print_Area" localSheetId="18">'RECARGO P FRACC GNP p2 13'!$B$11:$F$74</definedName>
    <definedName name="_xlnm.Print_Area" localSheetId="4">'TABLA FACTOR A LARGO PLAZO QT'!$A$8:$B$70</definedName>
    <definedName name="_xlnm.Print_Area" localSheetId="26">'TABLA FACTOR LP AXA p2 '!$A$8:$B$70</definedName>
    <definedName name="_xlnm.Print_Area" localSheetId="29">'TABLA FACTOR LP AXA un año '!$A$8:$B$70</definedName>
    <definedName name="_xlnm.Print_Area" localSheetId="27">'TABLA RECARGO P FRACC AXA p2 '!$B$11:$F$74</definedName>
    <definedName name="_xlnm.Print_Area" localSheetId="30">'TABLA RECARGO P FRACC AXA un añ'!$B$11:$F$74</definedName>
    <definedName name="_xlnm.Print_Area" localSheetId="5">'TABLA RECARGO POR PAGO FRACC QT'!$B$11:$F$74</definedName>
    <definedName name="Cotización" localSheetId="0">Cotizador!$B$1:$I$60</definedName>
  </definedNames>
  <calcPr calcId="125725"/>
</workbook>
</file>

<file path=xl/calcChain.xml><?xml version="1.0" encoding="utf-8"?>
<calcChain xmlns="http://schemas.openxmlformats.org/spreadsheetml/2006/main">
  <c r="G9" i="9"/>
  <c r="W10" s="1"/>
  <c r="C42" i="45"/>
  <c r="B35" i="8"/>
  <c r="C39" s="1"/>
  <c r="D39" s="1"/>
  <c r="E14" i="45"/>
  <c r="E15"/>
  <c r="J30"/>
  <c r="C44"/>
  <c r="U39" i="8"/>
  <c r="Q39"/>
  <c r="L39"/>
  <c r="N41" i="23"/>
  <c r="G41"/>
  <c r="H41"/>
  <c r="I41"/>
  <c r="K41"/>
  <c r="U52" i="11"/>
  <c r="Q52"/>
  <c r="H52"/>
  <c r="I52"/>
  <c r="J52"/>
  <c r="L52"/>
  <c r="B36" i="8"/>
  <c r="B39"/>
  <c r="B49" i="11"/>
  <c r="C52"/>
  <c r="A38" i="23"/>
  <c r="B41"/>
  <c r="B50" i="11"/>
  <c r="B52"/>
  <c r="A39" i="23"/>
  <c r="A41"/>
  <c r="C41" s="1"/>
  <c r="Q40" i="9"/>
  <c r="C45" s="1"/>
  <c r="G71"/>
  <c r="G70"/>
  <c r="I20" i="37"/>
  <c r="L23"/>
  <c r="I22"/>
  <c r="I23"/>
  <c r="R22"/>
  <c r="E22"/>
  <c r="F65"/>
  <c r="V33" i="9"/>
  <c r="W33" s="1"/>
  <c r="Q32" s="1"/>
  <c r="G17"/>
  <c r="G10" i="37"/>
  <c r="D10"/>
  <c r="N13"/>
  <c r="E13"/>
  <c r="E12"/>
  <c r="W8" i="9"/>
  <c r="W12"/>
  <c r="W16"/>
  <c r="W20"/>
  <c r="W24"/>
  <c r="W28"/>
  <c r="W9"/>
  <c r="W13"/>
  <c r="W17"/>
  <c r="W21"/>
  <c r="W25"/>
  <c r="W29"/>
  <c r="I22" i="45"/>
  <c r="I26" s="1"/>
  <c r="E19" s="1"/>
  <c r="K10"/>
  <c r="K9"/>
  <c r="O8"/>
  <c r="N8"/>
  <c r="N9"/>
  <c r="K8"/>
  <c r="C52" i="43"/>
  <c r="A44" i="42"/>
  <c r="B40"/>
  <c r="C46" i="41"/>
  <c r="D43"/>
  <c r="D40"/>
  <c r="B28"/>
  <c r="Z68" i="37"/>
  <c r="F68"/>
  <c r="F69" s="1"/>
  <c r="N65"/>
  <c r="Z57"/>
  <c r="Z47"/>
  <c r="Z41"/>
  <c r="Z31"/>
  <c r="AE13"/>
  <c r="C12"/>
  <c r="AA5"/>
  <c r="AA4"/>
  <c r="AA6"/>
  <c r="N14"/>
  <c r="L8" i="45"/>
  <c r="O9"/>
  <c r="O10"/>
  <c r="L9"/>
  <c r="N10"/>
  <c r="AA68" i="37"/>
  <c r="I12" i="3"/>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11"/>
  <c r="N11" i="45"/>
  <c r="L10"/>
  <c r="O11"/>
  <c r="U33" i="8"/>
  <c r="O12" i="45"/>
  <c r="N12"/>
  <c r="L11"/>
  <c r="F12" i="21"/>
  <c r="F13"/>
  <c r="F14"/>
  <c r="F15"/>
  <c r="F16"/>
  <c r="F17"/>
  <c r="F18"/>
  <c r="F19"/>
  <c r="F20"/>
  <c r="F21"/>
  <c r="F22"/>
  <c r="F11"/>
  <c r="N13" i="45"/>
  <c r="L12"/>
  <c r="O13"/>
  <c r="AA8" i="9"/>
  <c r="B12" i="32"/>
  <c r="G31" s="1"/>
  <c r="H31" s="1"/>
  <c r="I31" s="1"/>
  <c r="B15"/>
  <c r="A31" s="1"/>
  <c r="B14"/>
  <c r="D32" s="1"/>
  <c r="B23"/>
  <c r="B22" i="27"/>
  <c r="D49" i="9" s="1"/>
  <c r="N30" i="32"/>
  <c r="N31"/>
  <c r="N32"/>
  <c r="N33"/>
  <c r="N34"/>
  <c r="B15" i="28"/>
  <c r="A32" s="1"/>
  <c r="B14"/>
  <c r="B23"/>
  <c r="N30"/>
  <c r="N31"/>
  <c r="N32"/>
  <c r="N33"/>
  <c r="N34"/>
  <c r="B15" i="23"/>
  <c r="A30" s="1"/>
  <c r="B14"/>
  <c r="D30" s="1"/>
  <c r="B23"/>
  <c r="G30"/>
  <c r="H30"/>
  <c r="I30"/>
  <c r="N30"/>
  <c r="G31"/>
  <c r="H31"/>
  <c r="I31"/>
  <c r="N31"/>
  <c r="G32"/>
  <c r="H32"/>
  <c r="I32"/>
  <c r="N32"/>
  <c r="G33"/>
  <c r="H33"/>
  <c r="I33"/>
  <c r="N33"/>
  <c r="G34"/>
  <c r="H34"/>
  <c r="I34"/>
  <c r="N34"/>
  <c r="B15" i="19"/>
  <c r="A30" s="1"/>
  <c r="B14"/>
  <c r="B30" s="1"/>
  <c r="B23"/>
  <c r="B15" i="27"/>
  <c r="G30" i="19"/>
  <c r="H30"/>
  <c r="I30"/>
  <c r="N30"/>
  <c r="G31"/>
  <c r="H31"/>
  <c r="I31"/>
  <c r="N31"/>
  <c r="G32"/>
  <c r="H32"/>
  <c r="I32"/>
  <c r="N32"/>
  <c r="G33"/>
  <c r="H33"/>
  <c r="I33"/>
  <c r="N33"/>
  <c r="G34"/>
  <c r="H34"/>
  <c r="I34"/>
  <c r="N34"/>
  <c r="D41" i="23"/>
  <c r="AA14" i="9"/>
  <c r="T10" i="37"/>
  <c r="N14" i="45"/>
  <c r="O14"/>
  <c r="L13"/>
  <c r="A30" i="32"/>
  <c r="B12" i="28"/>
  <c r="G30" s="1"/>
  <c r="H30" s="1"/>
  <c r="A30"/>
  <c r="A33" i="23"/>
  <c r="A31"/>
  <c r="G34" i="32"/>
  <c r="H34" s="1"/>
  <c r="I34" s="1"/>
  <c r="D30"/>
  <c r="B31"/>
  <c r="D33"/>
  <c r="B30"/>
  <c r="B32"/>
  <c r="A34" i="28"/>
  <c r="A33"/>
  <c r="B27"/>
  <c r="A34" i="32"/>
  <c r="A33"/>
  <c r="A32"/>
  <c r="G32"/>
  <c r="H32" s="1"/>
  <c r="I32" s="1"/>
  <c r="G30"/>
  <c r="H30" s="1"/>
  <c r="I30" s="1"/>
  <c r="D34" i="28"/>
  <c r="B33"/>
  <c r="D32"/>
  <c r="B34"/>
  <c r="D33"/>
  <c r="B32"/>
  <c r="B31"/>
  <c r="D30"/>
  <c r="C30" i="32"/>
  <c r="B27"/>
  <c r="G33"/>
  <c r="H33" s="1"/>
  <c r="I33" s="1"/>
  <c r="D31" i="28"/>
  <c r="B30"/>
  <c r="B33" i="23"/>
  <c r="B31"/>
  <c r="B34"/>
  <c r="B32"/>
  <c r="B30"/>
  <c r="D34"/>
  <c r="D33"/>
  <c r="D32"/>
  <c r="D31"/>
  <c r="C31"/>
  <c r="K34"/>
  <c r="F22"/>
  <c r="J34"/>
  <c r="E22"/>
  <c r="K33"/>
  <c r="J33"/>
  <c r="K32"/>
  <c r="D22"/>
  <c r="J32"/>
  <c r="C22"/>
  <c r="K31"/>
  <c r="J31"/>
  <c r="B22"/>
  <c r="K30"/>
  <c r="A34" i="19"/>
  <c r="A33"/>
  <c r="A32"/>
  <c r="A31"/>
  <c r="D34"/>
  <c r="B34"/>
  <c r="D33"/>
  <c r="B33"/>
  <c r="D32"/>
  <c r="B32"/>
  <c r="D31"/>
  <c r="B31"/>
  <c r="D30"/>
  <c r="K34"/>
  <c r="F22"/>
  <c r="J34"/>
  <c r="E22"/>
  <c r="K33"/>
  <c r="J33"/>
  <c r="C22"/>
  <c r="K31"/>
  <c r="J31"/>
  <c r="B22"/>
  <c r="B14" i="27"/>
  <c r="K30" i="19"/>
  <c r="K32"/>
  <c r="D22"/>
  <c r="J32"/>
  <c r="C7" i="15"/>
  <c r="H27" s="1"/>
  <c r="I27" s="1"/>
  <c r="J27" s="1"/>
  <c r="C10"/>
  <c r="B25" s="1"/>
  <c r="C9"/>
  <c r="E25" s="1"/>
  <c r="C18"/>
  <c r="D42" i="9"/>
  <c r="Q25" i="15"/>
  <c r="U25"/>
  <c r="U26"/>
  <c r="U27"/>
  <c r="U28"/>
  <c r="U29"/>
  <c r="C35"/>
  <c r="O42"/>
  <c r="Q42"/>
  <c r="O43"/>
  <c r="O44"/>
  <c r="O45"/>
  <c r="O46"/>
  <c r="C34" i="28"/>
  <c r="E34" s="1"/>
  <c r="C32" i="32"/>
  <c r="E32" s="1"/>
  <c r="C33" i="23"/>
  <c r="E33" s="1"/>
  <c r="L33" s="1"/>
  <c r="C30" i="28"/>
  <c r="G34"/>
  <c r="H34" s="1"/>
  <c r="I34" s="1"/>
  <c r="G33"/>
  <c r="H33" s="1"/>
  <c r="I33" s="1"/>
  <c r="O15" i="45"/>
  <c r="N15"/>
  <c r="L14"/>
  <c r="G32" i="28"/>
  <c r="H32" s="1"/>
  <c r="I32" s="1"/>
  <c r="G31"/>
  <c r="H31" s="1"/>
  <c r="I31" s="1"/>
  <c r="C31" i="19"/>
  <c r="E31" s="1"/>
  <c r="E30" i="32"/>
  <c r="C33" i="28"/>
  <c r="E33" s="1"/>
  <c r="B46" i="15"/>
  <c r="B44"/>
  <c r="B29"/>
  <c r="B27"/>
  <c r="E30" i="28"/>
  <c r="E31" i="23"/>
  <c r="L31" s="1"/>
  <c r="H43" i="15"/>
  <c r="I43" s="1"/>
  <c r="J43" s="1"/>
  <c r="C32" i="19"/>
  <c r="E32" s="1"/>
  <c r="L32" s="1"/>
  <c r="D23" i="23"/>
  <c r="P32"/>
  <c r="F23"/>
  <c r="P34"/>
  <c r="C23"/>
  <c r="P31"/>
  <c r="E23"/>
  <c r="P33"/>
  <c r="C33" i="19"/>
  <c r="C34"/>
  <c r="E34" s="1"/>
  <c r="L34" s="1"/>
  <c r="C23"/>
  <c r="P31"/>
  <c r="F23"/>
  <c r="P34"/>
  <c r="E23"/>
  <c r="P33"/>
  <c r="D23"/>
  <c r="P32"/>
  <c r="H26" i="15"/>
  <c r="I26"/>
  <c r="J26" s="1"/>
  <c r="H46"/>
  <c r="I46" s="1"/>
  <c r="J46" s="1"/>
  <c r="H44"/>
  <c r="I44" s="1"/>
  <c r="J44" s="1"/>
  <c r="H28"/>
  <c r="I28" s="1"/>
  <c r="J28" s="1"/>
  <c r="H25"/>
  <c r="I25" s="1"/>
  <c r="J25" s="1"/>
  <c r="E43"/>
  <c r="C46"/>
  <c r="D46" s="1"/>
  <c r="C45"/>
  <c r="C43"/>
  <c r="C26"/>
  <c r="C22"/>
  <c r="H42"/>
  <c r="I42" s="1"/>
  <c r="J42" s="1"/>
  <c r="H29"/>
  <c r="I29" s="1"/>
  <c r="J29" s="1"/>
  <c r="B26"/>
  <c r="E42"/>
  <c r="C39"/>
  <c r="C29"/>
  <c r="D29" s="1"/>
  <c r="E27"/>
  <c r="E26"/>
  <c r="C10" i="11"/>
  <c r="C9"/>
  <c r="E25" s="1"/>
  <c r="C7" i="8"/>
  <c r="C10"/>
  <c r="B28" s="1"/>
  <c r="C9"/>
  <c r="E39" s="1"/>
  <c r="C18" i="11"/>
  <c r="H25"/>
  <c r="I25"/>
  <c r="J25"/>
  <c r="L25"/>
  <c r="Q25"/>
  <c r="U25"/>
  <c r="H26"/>
  <c r="I26"/>
  <c r="J26"/>
  <c r="U26"/>
  <c r="H27"/>
  <c r="I27"/>
  <c r="J27"/>
  <c r="L27"/>
  <c r="U27"/>
  <c r="H28"/>
  <c r="I28"/>
  <c r="J28"/>
  <c r="U28"/>
  <c r="H29"/>
  <c r="I29"/>
  <c r="J29"/>
  <c r="L29"/>
  <c r="U29"/>
  <c r="C35"/>
  <c r="H42"/>
  <c r="I42"/>
  <c r="J42"/>
  <c r="C34"/>
  <c r="O42"/>
  <c r="Q42"/>
  <c r="H43"/>
  <c r="I43"/>
  <c r="J43"/>
  <c r="O43"/>
  <c r="H44"/>
  <c r="I44"/>
  <c r="J44"/>
  <c r="O44"/>
  <c r="H45"/>
  <c r="I45"/>
  <c r="J45"/>
  <c r="L45"/>
  <c r="O45"/>
  <c r="H46"/>
  <c r="I46"/>
  <c r="J46"/>
  <c r="O46"/>
  <c r="Q33" i="8"/>
  <c r="D35" i="9"/>
  <c r="U29" i="8"/>
  <c r="U28"/>
  <c r="U27"/>
  <c r="U26"/>
  <c r="Q25"/>
  <c r="U25"/>
  <c r="C18"/>
  <c r="B26"/>
  <c r="E33"/>
  <c r="H33"/>
  <c r="I33" s="1"/>
  <c r="L33"/>
  <c r="H39"/>
  <c r="I39" s="1"/>
  <c r="B43" i="11"/>
  <c r="B45"/>
  <c r="O16" i="45"/>
  <c r="L15"/>
  <c r="N16"/>
  <c r="L43" i="11"/>
  <c r="K43"/>
  <c r="D35"/>
  <c r="K45"/>
  <c r="F35"/>
  <c r="F34"/>
  <c r="B42"/>
  <c r="B29"/>
  <c r="E26" i="8"/>
  <c r="C29"/>
  <c r="H26"/>
  <c r="I26"/>
  <c r="J26" s="1"/>
  <c r="C33"/>
  <c r="B46" i="11"/>
  <c r="B44"/>
  <c r="B28"/>
  <c r="H25" i="8"/>
  <c r="I25"/>
  <c r="J25" s="1"/>
  <c r="C17" s="1"/>
  <c r="D34" i="9" s="1"/>
  <c r="H28" i="8"/>
  <c r="I28"/>
  <c r="J28" s="1"/>
  <c r="E25"/>
  <c r="E27"/>
  <c r="E28"/>
  <c r="E46" i="11"/>
  <c r="C45"/>
  <c r="C43"/>
  <c r="D43" s="1"/>
  <c r="C28"/>
  <c r="H27" i="8"/>
  <c r="I27" s="1"/>
  <c r="J27" s="1"/>
  <c r="H29"/>
  <c r="I29" s="1"/>
  <c r="J29" s="1"/>
  <c r="B27" i="11"/>
  <c r="B26"/>
  <c r="B25"/>
  <c r="C22"/>
  <c r="C42"/>
  <c r="D42" s="1"/>
  <c r="E29"/>
  <c r="E28"/>
  <c r="C27"/>
  <c r="D27" s="1"/>
  <c r="C25"/>
  <c r="D25" s="1"/>
  <c r="F25" s="1"/>
  <c r="M25" s="1"/>
  <c r="G34"/>
  <c r="K46"/>
  <c r="L46"/>
  <c r="E34"/>
  <c r="K44"/>
  <c r="L44"/>
  <c r="F17"/>
  <c r="K28"/>
  <c r="L28"/>
  <c r="D17"/>
  <c r="K26"/>
  <c r="L26"/>
  <c r="Q45"/>
  <c r="Q43"/>
  <c r="L42"/>
  <c r="D34"/>
  <c r="K29"/>
  <c r="K27"/>
  <c r="E17"/>
  <c r="G17"/>
  <c r="C17"/>
  <c r="D45"/>
  <c r="D52"/>
  <c r="O17" i="45"/>
  <c r="L16"/>
  <c r="N17"/>
  <c r="K29" i="8"/>
  <c r="G18" s="1"/>
  <c r="H35" i="9" s="1"/>
  <c r="L25" i="8"/>
  <c r="E18" i="11"/>
  <c r="Q27"/>
  <c r="G18"/>
  <c r="Q29"/>
  <c r="Q28"/>
  <c r="F18"/>
  <c r="Q46"/>
  <c r="G35"/>
  <c r="D18"/>
  <c r="Q26"/>
  <c r="Q44"/>
  <c r="E35"/>
  <c r="Q29" i="8"/>
  <c r="N18" i="45"/>
  <c r="L17"/>
  <c r="O18"/>
  <c r="N19"/>
  <c r="O19"/>
  <c r="L18"/>
  <c r="O20"/>
  <c r="N20"/>
  <c r="L19"/>
  <c r="N21"/>
  <c r="L20"/>
  <c r="O21"/>
  <c r="N22"/>
  <c r="O22"/>
  <c r="L21"/>
  <c r="O23"/>
  <c r="N23"/>
  <c r="L22"/>
  <c r="N24"/>
  <c r="L23"/>
  <c r="O24"/>
  <c r="O25"/>
  <c r="N25"/>
  <c r="L24"/>
  <c r="O26"/>
  <c r="L25"/>
  <c r="N26"/>
  <c r="N27"/>
  <c r="L26"/>
  <c r="O27"/>
  <c r="O28"/>
  <c r="N28"/>
  <c r="L27"/>
  <c r="N29"/>
  <c r="L28"/>
  <c r="O29"/>
  <c r="O30"/>
  <c r="N30"/>
  <c r="L29"/>
  <c r="N31"/>
  <c r="L30"/>
  <c r="O31"/>
  <c r="O32"/>
  <c r="N32"/>
  <c r="L31"/>
  <c r="N33"/>
  <c r="L32"/>
  <c r="O33"/>
  <c r="O34"/>
  <c r="N34"/>
  <c r="L33"/>
  <c r="N35"/>
  <c r="L34"/>
  <c r="O35"/>
  <c r="O36"/>
  <c r="N36"/>
  <c r="L35"/>
  <c r="N37"/>
  <c r="L36"/>
  <c r="O37"/>
  <c r="O38"/>
  <c r="N38"/>
  <c r="L37"/>
  <c r="N39"/>
  <c r="L38"/>
  <c r="O39"/>
  <c r="O40"/>
  <c r="N40"/>
  <c r="L39"/>
  <c r="N41"/>
  <c r="L40"/>
  <c r="O41"/>
  <c r="O42"/>
  <c r="N42"/>
  <c r="L41"/>
  <c r="N43"/>
  <c r="L42"/>
  <c r="O43"/>
  <c r="O44"/>
  <c r="N44"/>
  <c r="L43"/>
  <c r="N45"/>
  <c r="L44"/>
  <c r="O45"/>
  <c r="O46"/>
  <c r="N46"/>
  <c r="L45"/>
  <c r="N47"/>
  <c r="L46"/>
  <c r="O47"/>
  <c r="O48"/>
  <c r="N48"/>
  <c r="L47"/>
  <c r="N49"/>
  <c r="L48"/>
  <c r="O49"/>
  <c r="O50"/>
  <c r="N50"/>
  <c r="L49"/>
  <c r="N51"/>
  <c r="L50"/>
  <c r="O51"/>
  <c r="O52"/>
  <c r="N52"/>
  <c r="L51"/>
  <c r="N53"/>
  <c r="L52"/>
  <c r="O53"/>
  <c r="O54"/>
  <c r="N54"/>
  <c r="L53"/>
  <c r="N55"/>
  <c r="L54"/>
  <c r="O55"/>
  <c r="O56"/>
  <c r="N56"/>
  <c r="L55"/>
  <c r="N57"/>
  <c r="L56"/>
  <c r="O57"/>
  <c r="O58"/>
  <c r="N58"/>
  <c r="L57"/>
  <c r="N59"/>
  <c r="L58"/>
  <c r="O59"/>
  <c r="O60"/>
  <c r="N60"/>
  <c r="L59"/>
  <c r="N61"/>
  <c r="L60"/>
  <c r="O61"/>
  <c r="O62"/>
  <c r="N62"/>
  <c r="L61"/>
  <c r="N63"/>
  <c r="L62"/>
  <c r="O63"/>
  <c r="O64"/>
  <c r="N64"/>
  <c r="L63"/>
  <c r="N65"/>
  <c r="L64"/>
  <c r="O65"/>
  <c r="O66"/>
  <c r="N66"/>
  <c r="L65"/>
  <c r="N67"/>
  <c r="L66"/>
  <c r="O67"/>
  <c r="L67"/>
  <c r="F39" i="8" l="1"/>
  <c r="M39" s="1"/>
  <c r="D26" i="15"/>
  <c r="F26" s="1"/>
  <c r="D28" i="11"/>
  <c r="F28" s="1"/>
  <c r="M28" s="1"/>
  <c r="H45" i="15"/>
  <c r="I45" s="1"/>
  <c r="J45" s="1"/>
  <c r="B28"/>
  <c r="B43"/>
  <c r="D43" s="1"/>
  <c r="F43" s="1"/>
  <c r="B45"/>
  <c r="D45" s="1"/>
  <c r="L31" i="19"/>
  <c r="E41" i="23"/>
  <c r="L41" s="1"/>
  <c r="C30" i="19"/>
  <c r="E30" s="1"/>
  <c r="L30" s="1"/>
  <c r="E10" i="45"/>
  <c r="AA19" i="9"/>
  <c r="K67" i="37"/>
  <c r="AA18" i="9"/>
  <c r="AA21" s="1"/>
  <c r="AB21" s="1"/>
  <c r="C54" s="1"/>
  <c r="K27" i="8"/>
  <c r="E17"/>
  <c r="F34" i="9" s="1"/>
  <c r="L27" i="8"/>
  <c r="E26" i="11"/>
  <c r="E27"/>
  <c r="F27" s="1"/>
  <c r="M27" s="1"/>
  <c r="C29"/>
  <c r="D29" s="1"/>
  <c r="C39"/>
  <c r="E42"/>
  <c r="F42" s="1"/>
  <c r="M42" s="1"/>
  <c r="E44"/>
  <c r="E45"/>
  <c r="F45" s="1"/>
  <c r="M45" s="1"/>
  <c r="E43"/>
  <c r="F43" s="1"/>
  <c r="M43" s="1"/>
  <c r="E52"/>
  <c r="F52" s="1"/>
  <c r="M52" s="1"/>
  <c r="C27" i="15"/>
  <c r="D27" s="1"/>
  <c r="F27" s="1"/>
  <c r="E28"/>
  <c r="E29"/>
  <c r="C42"/>
  <c r="C25"/>
  <c r="C28"/>
  <c r="D28" s="1"/>
  <c r="E44"/>
  <c r="E45"/>
  <c r="F45" s="1"/>
  <c r="E46"/>
  <c r="F46" s="1"/>
  <c r="C44"/>
  <c r="D44" s="1"/>
  <c r="F44" s="1"/>
  <c r="E33" i="19"/>
  <c r="L33" s="1"/>
  <c r="D25" i="15"/>
  <c r="F25" s="1"/>
  <c r="C30" i="23"/>
  <c r="E30" s="1"/>
  <c r="L30" s="1"/>
  <c r="A32"/>
  <c r="A34"/>
  <c r="C34" s="1"/>
  <c r="E34" s="1"/>
  <c r="L34" s="1"/>
  <c r="AB68" i="37"/>
  <c r="M69" s="1"/>
  <c r="C32" i="23"/>
  <c r="E32" s="1"/>
  <c r="L32" s="1"/>
  <c r="C32" i="28"/>
  <c r="E32" s="1"/>
  <c r="N28" i="11"/>
  <c r="P28"/>
  <c r="Q27" i="8"/>
  <c r="E18"/>
  <c r="F35" i="9" s="1"/>
  <c r="C34" i="15"/>
  <c r="L42"/>
  <c r="F17"/>
  <c r="G41" i="9" s="1"/>
  <c r="L28" i="15"/>
  <c r="K28"/>
  <c r="G34"/>
  <c r="L46"/>
  <c r="K46"/>
  <c r="L43"/>
  <c r="D34"/>
  <c r="K43"/>
  <c r="C22" i="28"/>
  <c r="K31"/>
  <c r="J31"/>
  <c r="E22"/>
  <c r="K33"/>
  <c r="J33"/>
  <c r="K33" i="32"/>
  <c r="E22"/>
  <c r="E21" i="27" s="1"/>
  <c r="G48" i="9" s="1"/>
  <c r="J33" i="32"/>
  <c r="K30"/>
  <c r="B22"/>
  <c r="B21" i="27" s="1"/>
  <c r="D48" i="9" s="1"/>
  <c r="P25" i="11"/>
  <c r="N25"/>
  <c r="G17" i="8"/>
  <c r="H34" i="9" s="1"/>
  <c r="L29" i="8"/>
  <c r="F17"/>
  <c r="G34" i="9" s="1"/>
  <c r="K28" i="8"/>
  <c r="L28"/>
  <c r="D17"/>
  <c r="E34" i="9" s="1"/>
  <c r="K26" i="8"/>
  <c r="L26"/>
  <c r="L29" i="15"/>
  <c r="K29"/>
  <c r="G17"/>
  <c r="H41" i="9" s="1"/>
  <c r="L25" i="15"/>
  <c r="M25" s="1"/>
  <c r="C17"/>
  <c r="D41" i="9" s="1"/>
  <c r="K44" i="15"/>
  <c r="E34"/>
  <c r="L44"/>
  <c r="M44" s="1"/>
  <c r="K26"/>
  <c r="D17"/>
  <c r="E41" i="9" s="1"/>
  <c r="L26" i="15"/>
  <c r="L45"/>
  <c r="K45"/>
  <c r="F34"/>
  <c r="D22" i="28"/>
  <c r="K32"/>
  <c r="L32" s="1"/>
  <c r="J32"/>
  <c r="J34"/>
  <c r="F22"/>
  <c r="K34"/>
  <c r="L34" s="1"/>
  <c r="L27" i="15"/>
  <c r="M27" s="1"/>
  <c r="K27"/>
  <c r="E17"/>
  <c r="F41" i="9" s="1"/>
  <c r="O32" i="23"/>
  <c r="M32"/>
  <c r="D22" i="32"/>
  <c r="D21" i="27" s="1"/>
  <c r="F48" i="9" s="1"/>
  <c r="J32" i="32"/>
  <c r="K32"/>
  <c r="K34"/>
  <c r="J34"/>
  <c r="F22"/>
  <c r="F21" i="27" s="1"/>
  <c r="H48" i="9" s="1"/>
  <c r="C22" i="32"/>
  <c r="C21" i="27" s="1"/>
  <c r="E48" i="9" s="1"/>
  <c r="K31" i="32"/>
  <c r="J31"/>
  <c r="M43" i="15"/>
  <c r="F28"/>
  <c r="M28" s="1"/>
  <c r="L33" i="28"/>
  <c r="L30" i="32"/>
  <c r="A31" i="28"/>
  <c r="C31" s="1"/>
  <c r="E31" s="1"/>
  <c r="L31" s="1"/>
  <c r="I30"/>
  <c r="C52" i="9"/>
  <c r="F29" i="11"/>
  <c r="M29" s="1"/>
  <c r="C46"/>
  <c r="D46" s="1"/>
  <c r="F46" s="1"/>
  <c r="M46" s="1"/>
  <c r="C26"/>
  <c r="D26" s="1"/>
  <c r="F26" s="1"/>
  <c r="M26" s="1"/>
  <c r="C44"/>
  <c r="D44" s="1"/>
  <c r="F44" s="1"/>
  <c r="M44" s="1"/>
  <c r="C28" i="8"/>
  <c r="D28" s="1"/>
  <c r="F28" s="1"/>
  <c r="M28" s="1"/>
  <c r="C27"/>
  <c r="C25"/>
  <c r="M26" i="15"/>
  <c r="B29" i="8"/>
  <c r="D29" s="1"/>
  <c r="E29"/>
  <c r="C26"/>
  <c r="D26" s="1"/>
  <c r="F26" s="1"/>
  <c r="M26" s="1"/>
  <c r="B33"/>
  <c r="D33" s="1"/>
  <c r="F33" s="1"/>
  <c r="M33" s="1"/>
  <c r="B27"/>
  <c r="D27" s="1"/>
  <c r="F27" s="1"/>
  <c r="M27" s="1"/>
  <c r="P27" s="1"/>
  <c r="B25"/>
  <c r="F29" i="15"/>
  <c r="M29" s="1"/>
  <c r="B42"/>
  <c r="D42" s="1"/>
  <c r="F42" s="1"/>
  <c r="M42" s="1"/>
  <c r="L32" i="32"/>
  <c r="O32" s="1"/>
  <c r="C31"/>
  <c r="O34" i="19"/>
  <c r="M34"/>
  <c r="O31" i="23"/>
  <c r="M31"/>
  <c r="M30" i="32"/>
  <c r="O30"/>
  <c r="M31" i="19"/>
  <c r="O31"/>
  <c r="M33" i="23"/>
  <c r="O33"/>
  <c r="M30" i="19"/>
  <c r="O30"/>
  <c r="M41" i="23"/>
  <c r="O41"/>
  <c r="O33" i="19"/>
  <c r="M33"/>
  <c r="O32"/>
  <c r="M32"/>
  <c r="M34" i="23"/>
  <c r="O34"/>
  <c r="M32" i="32"/>
  <c r="M30" i="23"/>
  <c r="O30"/>
  <c r="D34" i="32"/>
  <c r="B34"/>
  <c r="C34" s="1"/>
  <c r="D31"/>
  <c r="E31" s="1"/>
  <c r="L31" s="1"/>
  <c r="B33"/>
  <c r="C33" s="1"/>
  <c r="E33" s="1"/>
  <c r="L33" s="1"/>
  <c r="C38" i="9"/>
  <c r="W27"/>
  <c r="W23"/>
  <c r="W19"/>
  <c r="W15"/>
  <c r="W11"/>
  <c r="W30"/>
  <c r="W26"/>
  <c r="W22"/>
  <c r="W18"/>
  <c r="W14"/>
  <c r="P39" i="8" l="1"/>
  <c r="N39"/>
  <c r="D25"/>
  <c r="F25" s="1"/>
  <c r="M25" s="1"/>
  <c r="M45" i="15"/>
  <c r="AA23" i="37"/>
  <c r="AI2" s="1"/>
  <c r="AA24"/>
  <c r="AA22"/>
  <c r="I16" i="45"/>
  <c r="I18" s="1"/>
  <c r="I14" s="1"/>
  <c r="E18" s="1"/>
  <c r="I17"/>
  <c r="N43" i="11"/>
  <c r="P43"/>
  <c r="N27"/>
  <c r="P27"/>
  <c r="P45"/>
  <c r="N45"/>
  <c r="P42"/>
  <c r="N42"/>
  <c r="N27" i="8"/>
  <c r="F29"/>
  <c r="M29" s="1"/>
  <c r="N52" i="11"/>
  <c r="P52"/>
  <c r="M46" i="15"/>
  <c r="O34" i="28"/>
  <c r="M34"/>
  <c r="N44" i="15"/>
  <c r="P44"/>
  <c r="N25"/>
  <c r="P25"/>
  <c r="N42"/>
  <c r="P42"/>
  <c r="N28" i="8"/>
  <c r="P28"/>
  <c r="N27" i="15"/>
  <c r="P27"/>
  <c r="P25" i="8"/>
  <c r="N25"/>
  <c r="P33"/>
  <c r="N33"/>
  <c r="N26"/>
  <c r="P26"/>
  <c r="P29"/>
  <c r="N29"/>
  <c r="N26" i="11"/>
  <c r="P26"/>
  <c r="N29"/>
  <c r="P29"/>
  <c r="B22" i="28"/>
  <c r="K30"/>
  <c r="L30" s="1"/>
  <c r="N28" i="15"/>
  <c r="P28"/>
  <c r="P43"/>
  <c r="N43"/>
  <c r="O32" i="28"/>
  <c r="M32"/>
  <c r="P31" i="32"/>
  <c r="C23"/>
  <c r="C22" i="27" s="1"/>
  <c r="E49" i="9" s="1"/>
  <c r="P34" i="32"/>
  <c r="F23"/>
  <c r="F22" i="27" s="1"/>
  <c r="H49" i="9" s="1"/>
  <c r="Q32" i="23"/>
  <c r="R32" s="1"/>
  <c r="Q27" i="15"/>
  <c r="E18"/>
  <c r="F42" i="9" s="1"/>
  <c r="F23" i="28"/>
  <c r="P34"/>
  <c r="Q44" i="15"/>
  <c r="E35"/>
  <c r="G18"/>
  <c r="H42" i="9" s="1"/>
  <c r="Q29" i="15"/>
  <c r="F18" i="8"/>
  <c r="G35" i="9" s="1"/>
  <c r="Q28" i="8"/>
  <c r="P33" i="28"/>
  <c r="E23"/>
  <c r="D35" i="15"/>
  <c r="Q43"/>
  <c r="P46"/>
  <c r="N46"/>
  <c r="F18"/>
  <c r="G42" i="9" s="1"/>
  <c r="Q28" i="15"/>
  <c r="N29"/>
  <c r="P29"/>
  <c r="R29" s="1"/>
  <c r="S29" s="1"/>
  <c r="R27" i="8"/>
  <c r="S27" s="1"/>
  <c r="P45" i="15"/>
  <c r="N45"/>
  <c r="P26"/>
  <c r="N26"/>
  <c r="N44" i="11"/>
  <c r="P44"/>
  <c r="N46"/>
  <c r="P46"/>
  <c r="M31" i="28"/>
  <c r="O31"/>
  <c r="O33"/>
  <c r="M33"/>
  <c r="D23" i="32"/>
  <c r="D22" i="27" s="1"/>
  <c r="F49" i="9" s="1"/>
  <c r="P32" i="32"/>
  <c r="P32" i="28"/>
  <c r="D23"/>
  <c r="F35" i="15"/>
  <c r="Q45"/>
  <c r="D18"/>
  <c r="E42" i="9" s="1"/>
  <c r="Q26" i="15"/>
  <c r="Q26" i="8"/>
  <c r="D18"/>
  <c r="E35" i="9" s="1"/>
  <c r="R25" i="11"/>
  <c r="S25" s="1"/>
  <c r="E23" i="32"/>
  <c r="E22" i="27" s="1"/>
  <c r="G49" i="9" s="1"/>
  <c r="P33" i="32"/>
  <c r="C23" i="28"/>
  <c r="P31"/>
  <c r="G35" i="15"/>
  <c r="Q46"/>
  <c r="R43" i="11"/>
  <c r="S43" s="1"/>
  <c r="T43"/>
  <c r="V43" s="1"/>
  <c r="W43" s="1"/>
  <c r="X43" s="1"/>
  <c r="R28"/>
  <c r="S28" s="1"/>
  <c r="T28"/>
  <c r="V28" s="1"/>
  <c r="W28" s="1"/>
  <c r="X28" s="1"/>
  <c r="F19" s="1"/>
  <c r="E34" i="32"/>
  <c r="L34" s="1"/>
  <c r="M31"/>
  <c r="O31"/>
  <c r="Q34" i="28"/>
  <c r="R34" s="1"/>
  <c r="Q32" i="19"/>
  <c r="R32" s="1"/>
  <c r="Q33"/>
  <c r="R33" s="1"/>
  <c r="Q41" i="23"/>
  <c r="R41" s="1"/>
  <c r="Q30" i="19"/>
  <c r="R30" s="1"/>
  <c r="Q33" i="23"/>
  <c r="R33" s="1"/>
  <c r="Q31" i="19"/>
  <c r="R31" s="1"/>
  <c r="Q30" i="32"/>
  <c r="R30" s="1"/>
  <c r="R42" i="15"/>
  <c r="S42" s="1"/>
  <c r="T29"/>
  <c r="V29" s="1"/>
  <c r="M33" i="32"/>
  <c r="O33"/>
  <c r="M34"/>
  <c r="O34"/>
  <c r="Q30" i="23"/>
  <c r="R30" s="1"/>
  <c r="Q32" i="32"/>
  <c r="R32" s="1"/>
  <c r="Q34" i="23"/>
  <c r="R34" s="1"/>
  <c r="R25" i="15"/>
  <c r="S25" s="1"/>
  <c r="R27"/>
  <c r="S27" s="1"/>
  <c r="Q31" i="23"/>
  <c r="R31" s="1"/>
  <c r="Q34" i="19"/>
  <c r="R34" s="1"/>
  <c r="R39" i="8" l="1"/>
  <c r="S39" s="1"/>
  <c r="T39"/>
  <c r="V39" s="1"/>
  <c r="W39" s="1"/>
  <c r="X39" s="1"/>
  <c r="H46" i="45" s="1"/>
  <c r="T25" i="11"/>
  <c r="V25" s="1"/>
  <c r="W25" s="1"/>
  <c r="X25" s="1"/>
  <c r="C19" s="1"/>
  <c r="T27" i="8"/>
  <c r="V27" s="1"/>
  <c r="W27" s="1"/>
  <c r="X27" s="1"/>
  <c r="AA28" i="37"/>
  <c r="AA26"/>
  <c r="AI3"/>
  <c r="AI4" s="1"/>
  <c r="AJ3"/>
  <c r="AJ4" s="1"/>
  <c r="AJ2"/>
  <c r="AG2" s="1"/>
  <c r="AB28"/>
  <c r="AG3" s="1"/>
  <c r="R42" i="11"/>
  <c r="S42" s="1"/>
  <c r="R45"/>
  <c r="S45" s="1"/>
  <c r="S32" i="23"/>
  <c r="R52" i="11"/>
  <c r="S52" s="1"/>
  <c r="T27"/>
  <c r="V27" s="1"/>
  <c r="R27"/>
  <c r="S27" s="1"/>
  <c r="S34" i="23"/>
  <c r="S32" i="32"/>
  <c r="S30" i="23"/>
  <c r="T42" i="15"/>
  <c r="V42" s="1"/>
  <c r="F20" i="11"/>
  <c r="D37"/>
  <c r="D36"/>
  <c r="Q33" i="28"/>
  <c r="R33" s="1"/>
  <c r="S33"/>
  <c r="R26" i="15"/>
  <c r="S26" s="1"/>
  <c r="T26"/>
  <c r="V26" s="1"/>
  <c r="R45"/>
  <c r="S45" s="1"/>
  <c r="T45"/>
  <c r="V45" s="1"/>
  <c r="W45" s="1"/>
  <c r="X45" s="1"/>
  <c r="R46"/>
  <c r="S46" s="1"/>
  <c r="T46"/>
  <c r="V46" s="1"/>
  <c r="W46" s="1"/>
  <c r="X46" s="1"/>
  <c r="G37" s="1"/>
  <c r="Q32" i="28"/>
  <c r="R32" s="1"/>
  <c r="R43" i="15"/>
  <c r="S43" s="1"/>
  <c r="R29" i="8"/>
  <c r="S29" s="1"/>
  <c r="R33"/>
  <c r="S33" s="1"/>
  <c r="R25"/>
  <c r="S25" s="1"/>
  <c r="S34" i="19"/>
  <c r="T34" s="1"/>
  <c r="U34" s="1"/>
  <c r="S31" i="23"/>
  <c r="T27" i="15"/>
  <c r="V27" s="1"/>
  <c r="W27" s="1"/>
  <c r="X27" s="1"/>
  <c r="Q31" i="28"/>
  <c r="R31" s="1"/>
  <c r="R46" i="11"/>
  <c r="S46" s="1"/>
  <c r="R44"/>
  <c r="S44" s="1"/>
  <c r="T32" i="23"/>
  <c r="U32" s="1"/>
  <c r="R28" i="15"/>
  <c r="S28" s="1"/>
  <c r="M30" i="28"/>
  <c r="O30"/>
  <c r="R29" i="11"/>
  <c r="S29" s="1"/>
  <c r="R26"/>
  <c r="S26" s="1"/>
  <c r="R28" i="8"/>
  <c r="S28" s="1"/>
  <c r="R26"/>
  <c r="R44" i="15"/>
  <c r="G36"/>
  <c r="F37"/>
  <c r="F36"/>
  <c r="T31" i="23"/>
  <c r="U31" s="1"/>
  <c r="T34"/>
  <c r="U34" s="1"/>
  <c r="T32" i="32"/>
  <c r="U32" s="1"/>
  <c r="T30" i="23"/>
  <c r="U30" s="1"/>
  <c r="B24" s="1"/>
  <c r="Q34" i="32"/>
  <c r="R34" s="1"/>
  <c r="Q33"/>
  <c r="R33" s="1"/>
  <c r="W42" i="15"/>
  <c r="X42" s="1"/>
  <c r="C36" s="1"/>
  <c r="C37" s="1"/>
  <c r="W29"/>
  <c r="X29" s="1"/>
  <c r="Q31" i="32"/>
  <c r="R31" s="1"/>
  <c r="T25" i="15"/>
  <c r="V25" s="1"/>
  <c r="S30" i="32"/>
  <c r="S31" i="19"/>
  <c r="S33" i="23"/>
  <c r="S30" i="19"/>
  <c r="S41" i="23"/>
  <c r="S33" i="19"/>
  <c r="S32"/>
  <c r="S34" i="28"/>
  <c r="C20" i="11" l="1"/>
  <c r="Q6" i="9"/>
  <c r="E19" i="8"/>
  <c r="F36" i="9" s="1"/>
  <c r="E20" i="8"/>
  <c r="F37" i="9" s="1"/>
  <c r="T45" i="11"/>
  <c r="V45" s="1"/>
  <c r="W45" s="1"/>
  <c r="X45" s="1"/>
  <c r="T42"/>
  <c r="V42" s="1"/>
  <c r="W42" s="1"/>
  <c r="X42" s="1"/>
  <c r="C36" s="1"/>
  <c r="C37" s="1"/>
  <c r="AD49" i="37"/>
  <c r="AF45"/>
  <c r="AD45"/>
  <c r="AD47"/>
  <c r="AG5"/>
  <c r="AI5"/>
  <c r="AJ5"/>
  <c r="S34" i="32"/>
  <c r="T25" i="8"/>
  <c r="V25" s="1"/>
  <c r="X25" s="1"/>
  <c r="C19" s="1"/>
  <c r="T43" i="15"/>
  <c r="V43" s="1"/>
  <c r="T52" i="11"/>
  <c r="V52" s="1"/>
  <c r="W52" s="1"/>
  <c r="X52" s="1"/>
  <c r="H44" i="45" s="1"/>
  <c r="W27" i="11"/>
  <c r="X27" s="1"/>
  <c r="D25" i="23"/>
  <c r="D24"/>
  <c r="S44" i="15"/>
  <c r="T44"/>
  <c r="V44" s="1"/>
  <c r="Q30" i="28"/>
  <c r="R30" s="1"/>
  <c r="T28" i="8"/>
  <c r="V28" s="1"/>
  <c r="T26" i="11"/>
  <c r="V26" s="1"/>
  <c r="T29"/>
  <c r="V29" s="1"/>
  <c r="T28" i="15"/>
  <c r="V28" s="1"/>
  <c r="W28" s="1"/>
  <c r="X28" s="1"/>
  <c r="T44" i="11"/>
  <c r="V44" s="1"/>
  <c r="W44" s="1"/>
  <c r="X44" s="1"/>
  <c r="T46"/>
  <c r="V46" s="1"/>
  <c r="S31" i="28"/>
  <c r="T33" i="8"/>
  <c r="V33" s="1"/>
  <c r="T29"/>
  <c r="V29" s="1"/>
  <c r="S32" i="28"/>
  <c r="S26" i="8"/>
  <c r="T26"/>
  <c r="V26" s="1"/>
  <c r="W25"/>
  <c r="W43" i="15"/>
  <c r="X43" s="1"/>
  <c r="W26"/>
  <c r="X26" s="1"/>
  <c r="T33" i="28"/>
  <c r="U33" s="1"/>
  <c r="D25" i="32"/>
  <c r="D24" i="27" s="1"/>
  <c r="F51" i="9" s="1"/>
  <c r="D24" i="32"/>
  <c r="D23" i="27" s="1"/>
  <c r="F50" i="9" s="1"/>
  <c r="G19" i="15"/>
  <c r="H43" i="9" s="1"/>
  <c r="G20" i="15"/>
  <c r="H44" i="9" s="1"/>
  <c r="T33" i="19"/>
  <c r="U33" s="1"/>
  <c r="T31"/>
  <c r="U31" s="1"/>
  <c r="T32"/>
  <c r="U32" s="1"/>
  <c r="T41" i="23"/>
  <c r="U41" s="1"/>
  <c r="H45" i="45" s="1"/>
  <c r="H50" s="1"/>
  <c r="T33" i="23"/>
  <c r="U33" s="1"/>
  <c r="T30" i="32"/>
  <c r="U30" s="1"/>
  <c r="B24" s="1"/>
  <c r="S31"/>
  <c r="S33"/>
  <c r="T34" i="28"/>
  <c r="U34" s="1"/>
  <c r="T30" i="19"/>
  <c r="U30" s="1"/>
  <c r="B24" s="1"/>
  <c r="B25" s="1"/>
  <c r="W25" i="15"/>
  <c r="X25" s="1"/>
  <c r="C19" s="1"/>
  <c r="T34" i="32"/>
  <c r="U34" s="1"/>
  <c r="B16" i="27"/>
  <c r="Q7" i="9" s="1"/>
  <c r="B25" i="23"/>
  <c r="B17" i="27" s="1"/>
  <c r="F25" i="23"/>
  <c r="F24"/>
  <c r="E20" i="15"/>
  <c r="F44" i="9" s="1"/>
  <c r="E19" i="15"/>
  <c r="F43" i="9" s="1"/>
  <c r="C24" i="23"/>
  <c r="C25"/>
  <c r="F25" i="19"/>
  <c r="F24"/>
  <c r="F36" i="11" l="1"/>
  <c r="F37"/>
  <c r="S30" i="28"/>
  <c r="T30" s="1"/>
  <c r="U30" s="1"/>
  <c r="B24" s="1"/>
  <c r="B25" s="1"/>
  <c r="AI6" i="37"/>
  <c r="AJ6"/>
  <c r="E20" i="11"/>
  <c r="E19"/>
  <c r="D37" i="15"/>
  <c r="D36"/>
  <c r="W29" i="8"/>
  <c r="X29" s="1"/>
  <c r="T31" i="28"/>
  <c r="U31" s="1"/>
  <c r="E37" i="11"/>
  <c r="E36"/>
  <c r="W29"/>
  <c r="X29" s="1"/>
  <c r="W28" i="8"/>
  <c r="X28" s="1"/>
  <c r="E25" i="28"/>
  <c r="E24"/>
  <c r="D20" i="15"/>
  <c r="E44" i="9" s="1"/>
  <c r="D19" i="15"/>
  <c r="E43" i="9" s="1"/>
  <c r="D36"/>
  <c r="C20" i="8"/>
  <c r="D37" i="9" s="1"/>
  <c r="W26" i="8"/>
  <c r="X26" s="1"/>
  <c r="T32" i="28"/>
  <c r="U32" s="1"/>
  <c r="W33" i="8"/>
  <c r="X33" s="1"/>
  <c r="Q8" i="9" s="1"/>
  <c r="Q12" s="1"/>
  <c r="W46" i="11"/>
  <c r="X46" s="1"/>
  <c r="F20" i="15"/>
  <c r="G44" i="9" s="1"/>
  <c r="F19" i="15"/>
  <c r="G43" i="9" s="1"/>
  <c r="W26" i="11"/>
  <c r="X26" s="1"/>
  <c r="W44" i="15"/>
  <c r="X44"/>
  <c r="F25" i="32"/>
  <c r="F24" i="27" s="1"/>
  <c r="H51" i="9" s="1"/>
  <c r="F24" i="32"/>
  <c r="F23" i="27" s="1"/>
  <c r="H50" i="9" s="1"/>
  <c r="B25" i="32"/>
  <c r="B24" i="27" s="1"/>
  <c r="D51" i="9" s="1"/>
  <c r="B23" i="27"/>
  <c r="D50" i="9" s="1"/>
  <c r="T31" i="32"/>
  <c r="U31" s="1"/>
  <c r="C20" i="15"/>
  <c r="D44" i="9" s="1"/>
  <c r="D43"/>
  <c r="F24" i="28"/>
  <c r="F25"/>
  <c r="T33" i="32"/>
  <c r="U33" s="1"/>
  <c r="E24" i="23"/>
  <c r="E25"/>
  <c r="I50" i="45"/>
  <c r="J32"/>
  <c r="D25" i="19"/>
  <c r="D24"/>
  <c r="C24"/>
  <c r="C25"/>
  <c r="E24"/>
  <c r="E25"/>
  <c r="AJ7" i="37" l="1"/>
  <c r="AI7"/>
  <c r="D20" i="11"/>
  <c r="D19"/>
  <c r="G36"/>
  <c r="G37"/>
  <c r="G20"/>
  <c r="G19"/>
  <c r="G19" i="8"/>
  <c r="H36" i="9" s="1"/>
  <c r="G20" i="8"/>
  <c r="H37" i="9" s="1"/>
  <c r="J31" i="45"/>
  <c r="D28" i="9"/>
  <c r="C25" i="28"/>
  <c r="C24"/>
  <c r="E36" i="15"/>
  <c r="E37"/>
  <c r="D24" i="28"/>
  <c r="D25"/>
  <c r="D19" i="8"/>
  <c r="E36" i="9" s="1"/>
  <c r="D20" i="8"/>
  <c r="E37" i="9" s="1"/>
  <c r="F20" i="8"/>
  <c r="G37" i="9" s="1"/>
  <c r="F19" i="8"/>
  <c r="G36" i="9" s="1"/>
  <c r="C24" i="32"/>
  <c r="C23" i="27" s="1"/>
  <c r="E50" i="9" s="1"/>
  <c r="C25" i="32"/>
  <c r="C24" i="27" s="1"/>
  <c r="E51" i="9" s="1"/>
  <c r="E24" i="32"/>
  <c r="E23" i="27" s="1"/>
  <c r="G50" i="9" s="1"/>
  <c r="E25" i="32"/>
  <c r="E24" i="27" s="1"/>
  <c r="G51" i="9" s="1"/>
  <c r="J34" i="45"/>
  <c r="J37" s="1"/>
  <c r="E27" s="1"/>
  <c r="P67" i="37"/>
  <c r="R12" i="9"/>
  <c r="AJ8" i="37" l="1"/>
  <c r="AI8"/>
  <c r="D59" i="43"/>
  <c r="O15"/>
  <c r="L12"/>
  <c r="E12"/>
  <c r="B8"/>
  <c r="B39" i="42"/>
  <c r="B29"/>
  <c r="B16"/>
  <c r="E4"/>
  <c r="B49" i="41"/>
  <c r="B31"/>
  <c r="D28"/>
  <c r="D20"/>
  <c r="B8"/>
  <c r="N15" i="43"/>
  <c r="K12"/>
  <c r="D12"/>
  <c r="B7"/>
  <c r="B37" i="42"/>
  <c r="B28"/>
  <c r="B15"/>
  <c r="F50" i="41"/>
  <c r="D48"/>
  <c r="B29"/>
  <c r="B20"/>
  <c r="E4"/>
  <c r="O12" i="43"/>
  <c r="P12"/>
  <c r="F29"/>
  <c r="F15"/>
  <c r="J12"/>
  <c r="E10"/>
  <c r="A46" i="42"/>
  <c r="B31"/>
  <c r="D27"/>
  <c r="B14"/>
  <c r="D50" i="41"/>
  <c r="B48"/>
  <c r="E29"/>
  <c r="D21"/>
  <c r="B19"/>
  <c r="B17" i="43"/>
  <c r="M12"/>
  <c r="F12"/>
  <c r="B10"/>
  <c r="B44" i="42"/>
  <c r="B30"/>
  <c r="B27"/>
  <c r="B13"/>
  <c r="B50" i="41"/>
  <c r="B30"/>
  <c r="B21"/>
  <c r="B18"/>
  <c r="C12"/>
  <c r="Q12" i="43"/>
  <c r="B29"/>
  <c r="AJ9" i="37" l="1"/>
  <c r="AI9"/>
  <c r="AI10" l="1"/>
  <c r="AJ10"/>
  <c r="AJ11" l="1"/>
  <c r="AI11"/>
  <c r="AJ12" l="1"/>
  <c r="AI12"/>
  <c r="AI13" l="1"/>
  <c r="AJ13"/>
  <c r="AJ14" l="1"/>
  <c r="AI14"/>
  <c r="AJ15" l="1"/>
  <c r="AI15"/>
  <c r="AJ16" l="1"/>
  <c r="AI16"/>
  <c r="AI17" l="1"/>
  <c r="AJ17"/>
  <c r="AJ18" l="1"/>
  <c r="AI18"/>
  <c r="AI19" l="1"/>
  <c r="AJ19"/>
  <c r="AJ20" l="1"/>
  <c r="AI20"/>
  <c r="AJ21" l="1"/>
  <c r="AI21"/>
  <c r="AJ22" l="1"/>
  <c r="AI22"/>
  <c r="AI23" l="1"/>
  <c r="AJ23"/>
  <c r="AJ24" l="1"/>
  <c r="AI24"/>
  <c r="AJ25" l="1"/>
  <c r="AI25"/>
  <c r="AI26" l="1"/>
  <c r="AJ26"/>
  <c r="AI27" l="1"/>
  <c r="AJ27"/>
  <c r="AJ28" l="1"/>
  <c r="AI28"/>
  <c r="AI29" l="1"/>
  <c r="AJ29"/>
  <c r="AI30" l="1"/>
  <c r="AJ30"/>
  <c r="AJ31" l="1"/>
  <c r="AI31"/>
  <c r="AI32" l="1"/>
  <c r="AJ32"/>
  <c r="AJ33" l="1"/>
  <c r="AI33"/>
  <c r="AJ34" l="1"/>
  <c r="AI34"/>
  <c r="AJ35" l="1"/>
  <c r="AI35"/>
  <c r="AJ36" l="1"/>
  <c r="AI36"/>
  <c r="AJ37" l="1"/>
  <c r="AI37"/>
  <c r="AJ38" l="1"/>
  <c r="AI38"/>
  <c r="AJ39" l="1"/>
  <c r="AI39"/>
  <c r="AJ40" l="1"/>
  <c r="AI40"/>
  <c r="AI41" l="1"/>
  <c r="AJ41"/>
  <c r="AI42" l="1"/>
  <c r="AJ42"/>
  <c r="AI43" l="1"/>
  <c r="AJ43"/>
  <c r="AJ44" l="1"/>
  <c r="AI44"/>
  <c r="AI45" l="1"/>
  <c r="AJ45"/>
  <c r="AI46" l="1"/>
  <c r="AJ46"/>
  <c r="AI47" l="1"/>
  <c r="AJ47"/>
  <c r="AI48" l="1"/>
  <c r="AJ48"/>
  <c r="AJ49" l="1"/>
  <c r="AI49"/>
  <c r="AJ50" l="1"/>
  <c r="AI50"/>
  <c r="AJ51" l="1"/>
  <c r="AI51"/>
  <c r="AI52" l="1"/>
  <c r="AJ52"/>
  <c r="AJ53" l="1"/>
  <c r="AI53"/>
  <c r="AJ54" l="1"/>
  <c r="AI54"/>
  <c r="AJ55" l="1"/>
  <c r="AI55"/>
  <c r="AI56" l="1"/>
  <c r="AJ56"/>
  <c r="AJ57" l="1"/>
  <c r="AI57"/>
  <c r="AJ58" l="1"/>
  <c r="AI58"/>
  <c r="AI59" l="1"/>
  <c r="AJ59"/>
  <c r="AI60" l="1"/>
  <c r="AJ60"/>
  <c r="AJ61" l="1"/>
  <c r="AI61"/>
  <c r="AI62" l="1"/>
  <c r="AJ62"/>
</calcChain>
</file>

<file path=xl/comments1.xml><?xml version="1.0" encoding="utf-8"?>
<comments xmlns="http://schemas.openxmlformats.org/spreadsheetml/2006/main">
  <authors>
    <author>Roberto del Valle López</author>
  </authors>
  <commentList>
    <comment ref="D9" authorId="0">
      <text>
        <r>
          <rPr>
            <b/>
            <sz val="8"/>
            <color indexed="81"/>
            <rFont val="Tahoma"/>
            <family val="2"/>
          </rPr>
          <t>RVL:</t>
        </r>
        <r>
          <rPr>
            <sz val="8"/>
            <color indexed="81"/>
            <rFont val="Tahoma"/>
            <family val="2"/>
          </rPr>
          <t xml:space="preserve">
Elige la línea de vehículo a cotizar</t>
        </r>
      </text>
    </comment>
    <comment ref="D11" authorId="0">
      <text>
        <r>
          <rPr>
            <b/>
            <sz val="8"/>
            <color indexed="81"/>
            <rFont val="Tahoma"/>
            <family val="2"/>
          </rPr>
          <t>RVL:</t>
        </r>
        <r>
          <rPr>
            <sz val="8"/>
            <color indexed="81"/>
            <rFont val="Tahoma"/>
            <family val="2"/>
          </rPr>
          <t xml:space="preserve">
Captura el catálogo correcto (si no coincide con factura se rechazará pago de unidad)</t>
        </r>
      </text>
    </comment>
    <comment ref="G11" authorId="0">
      <text>
        <r>
          <rPr>
            <b/>
            <sz val="8"/>
            <color indexed="81"/>
            <rFont val="Tahoma"/>
            <family val="2"/>
          </rPr>
          <t>RVL:</t>
        </r>
        <r>
          <rPr>
            <sz val="8"/>
            <color indexed="81"/>
            <rFont val="Tahoma"/>
            <family val="2"/>
          </rPr>
          <t xml:space="preserve">
Capturar únicamente el o los nombres</t>
        </r>
      </text>
    </comment>
    <comment ref="G12" authorId="0">
      <text>
        <r>
          <rPr>
            <b/>
            <sz val="8"/>
            <color indexed="81"/>
            <rFont val="Tahoma"/>
            <family val="2"/>
          </rPr>
          <t>RVL:</t>
        </r>
        <r>
          <rPr>
            <sz val="8"/>
            <color indexed="81"/>
            <rFont val="Tahoma"/>
            <family val="2"/>
          </rPr>
          <t xml:space="preserve">
Capturar únicamente el primer apellido</t>
        </r>
      </text>
    </comment>
    <comment ref="D13" authorId="0">
      <text>
        <r>
          <rPr>
            <b/>
            <sz val="8"/>
            <color indexed="81"/>
            <rFont val="Tahoma"/>
            <family val="2"/>
          </rPr>
          <t>RVL:</t>
        </r>
        <r>
          <rPr>
            <sz val="8"/>
            <color indexed="81"/>
            <rFont val="Tahoma"/>
            <family val="2"/>
          </rPr>
          <t xml:space="preserve">
Captura la descripción correspondiente al catálogo según lista de precios (si no coincide con factura se rechazará pago de unidad)</t>
        </r>
      </text>
    </comment>
    <comment ref="G13" authorId="0">
      <text>
        <r>
          <rPr>
            <b/>
            <sz val="8"/>
            <color indexed="81"/>
            <rFont val="Tahoma"/>
            <family val="2"/>
          </rPr>
          <t>RVL:</t>
        </r>
        <r>
          <rPr>
            <sz val="8"/>
            <color indexed="81"/>
            <rFont val="Tahoma"/>
            <family val="2"/>
          </rPr>
          <t xml:space="preserve">
Caturar únicamente el segundo apellido</t>
        </r>
      </text>
    </comment>
    <comment ref="G14" authorId="0">
      <text>
        <r>
          <rPr>
            <b/>
            <sz val="8"/>
            <color indexed="81"/>
            <rFont val="Tahoma"/>
            <family val="2"/>
          </rPr>
          <t>RVL:</t>
        </r>
        <r>
          <rPr>
            <sz val="8"/>
            <color indexed="81"/>
            <rFont val="Tahoma"/>
            <family val="2"/>
          </rPr>
          <t xml:space="preserve">
Capturar únicamente el número de grupo</t>
        </r>
      </text>
    </comment>
    <comment ref="D15" authorId="0">
      <text>
        <r>
          <rPr>
            <b/>
            <sz val="8"/>
            <color indexed="81"/>
            <rFont val="Tahoma"/>
            <family val="2"/>
          </rPr>
          <t>RVL:</t>
        </r>
        <r>
          <rPr>
            <sz val="8"/>
            <color indexed="81"/>
            <rFont val="Tahoma"/>
            <family val="2"/>
          </rPr>
          <t xml:space="preserve">
Elige el año modelo correcto (si no coincide con factura se rechazará pago de unidad)</t>
        </r>
      </text>
    </comment>
    <comment ref="G15" authorId="0">
      <text>
        <r>
          <rPr>
            <b/>
            <sz val="8"/>
            <color indexed="81"/>
            <rFont val="Tahoma"/>
            <family val="2"/>
          </rPr>
          <t>RVL:</t>
        </r>
        <r>
          <rPr>
            <sz val="8"/>
            <color indexed="81"/>
            <rFont val="Tahoma"/>
            <family val="2"/>
          </rPr>
          <t xml:space="preserve">
Capturar únicamente el número de integrante</t>
        </r>
      </text>
    </comment>
    <comment ref="D17" authorId="0">
      <text>
        <r>
          <rPr>
            <b/>
            <sz val="8"/>
            <color indexed="81"/>
            <rFont val="Tahoma"/>
            <family val="2"/>
          </rPr>
          <t>RVL:</t>
        </r>
        <r>
          <rPr>
            <sz val="8"/>
            <color indexed="81"/>
            <rFont val="Tahoma"/>
            <family val="2"/>
          </rPr>
          <t xml:space="preserve">
Captura el importe total a facturar (no incluir costos de adaptaciones, conversiones ni accesorios)</t>
        </r>
      </text>
    </comment>
    <comment ref="G18" authorId="0">
      <text>
        <r>
          <rPr>
            <b/>
            <sz val="8"/>
            <color indexed="81"/>
            <rFont val="Tahoma"/>
            <family val="2"/>
          </rPr>
          <t>RVL:</t>
        </r>
        <r>
          <rPr>
            <sz val="8"/>
            <color indexed="81"/>
            <rFont val="Tahoma"/>
            <family val="2"/>
          </rPr>
          <t xml:space="preserve">
Capturar el número de serie idéntico al de la factura (en caso de que no coincida será motivo de rechazo de pago de unidad)</t>
        </r>
      </text>
    </comment>
    <comment ref="D19" authorId="0">
      <text>
        <r>
          <rPr>
            <b/>
            <sz val="8"/>
            <color indexed="81"/>
            <rFont val="Tahoma"/>
            <family val="2"/>
          </rPr>
          <t>RVL:</t>
        </r>
        <r>
          <rPr>
            <sz val="8"/>
            <color indexed="81"/>
            <rFont val="Tahoma"/>
            <family val="2"/>
          </rPr>
          <t xml:space="preserve">
Capturar los meses en que estará asegurado el vehiculo incluyendo el periodo de promoción. Para calcular correctamente los meses restantes favor de auxiliarse con la tabla anexa "Cálculo Mens. y dif. seguro". (si no son correctos se rechazará el pago de unidad)</t>
        </r>
      </text>
    </comment>
    <comment ref="D64" authorId="0">
      <text>
        <r>
          <rPr>
            <b/>
            <sz val="8"/>
            <color indexed="81"/>
            <rFont val="Tahoma"/>
            <family val="2"/>
          </rPr>
          <t>RVL:</t>
        </r>
        <r>
          <rPr>
            <sz val="8"/>
            <color indexed="81"/>
            <rFont val="Tahoma"/>
            <family val="2"/>
          </rPr>
          <t xml:space="preserve">
seleccionar la aseguradora que el cliente eligió para la segunda póliza. Este documento deberá presentarse junto con el resto de la papelería para pago de unidad (de no hacerlo será motivo de rechazo)</t>
        </r>
      </text>
    </comment>
    <comment ref="D67" authorId="0">
      <text>
        <r>
          <rPr>
            <b/>
            <sz val="8"/>
            <color indexed="81"/>
            <rFont val="Tahoma"/>
            <family val="2"/>
          </rPr>
          <t>RVL:</t>
        </r>
        <r>
          <rPr>
            <sz val="8"/>
            <color indexed="81"/>
            <rFont val="Tahoma"/>
            <family val="2"/>
          </rPr>
          <t xml:space="preserve">
seleccionar la forma de pago que el cliente eligió para la segunda póliza. Este documento deberá presentarse junto con el resto de la papelería para pago de unidad (de no hacerlo será motivo de rechazo)</t>
        </r>
      </text>
    </comment>
  </commentList>
</comments>
</file>

<file path=xl/comments2.xml><?xml version="1.0" encoding="utf-8"?>
<comments xmlns="http://schemas.openxmlformats.org/spreadsheetml/2006/main">
  <authors>
    <author>Daniel Muñoz</author>
  </authors>
  <commentList>
    <comment ref="L10" authorId="0">
      <text>
        <r>
          <rPr>
            <sz val="8"/>
            <color indexed="81"/>
            <rFont val="Tahoma"/>
            <family val="2"/>
          </rPr>
          <t>INDICAR SI ES PERSONA FÍSICA O MORAL</t>
        </r>
      </text>
    </comment>
    <comment ref="E12" authorId="0">
      <text>
        <r>
          <rPr>
            <sz val="8"/>
            <color indexed="81"/>
            <rFont val="Tahoma"/>
            <family val="2"/>
          </rPr>
          <t>CAPTURAR NOMBRE(S) DEL TITULAR O NOMBRE DE LA PERSONA MORAL</t>
        </r>
      </text>
    </comment>
    <comment ref="E13" authorId="0">
      <text>
        <r>
          <rPr>
            <sz val="8"/>
            <color indexed="81"/>
            <rFont val="Tahoma"/>
            <family val="2"/>
          </rPr>
          <t>CAPTURAR APELLIDO PATERNO DEL TITULAR O REPRESENTANTE LEGAL</t>
        </r>
      </text>
    </comment>
    <comment ref="E14" authorId="0">
      <text>
        <r>
          <rPr>
            <sz val="8"/>
            <color indexed="81"/>
            <rFont val="Tahoma"/>
            <family val="2"/>
          </rPr>
          <t>INDICAR TIPO DE IDENTIFICACIÓN OFICIAL QUE PRESENTO EL TITULAR O REPRESENTANTE LEGAL</t>
        </r>
      </text>
    </comment>
    <comment ref="K14" authorId="0">
      <text>
        <r>
          <rPr>
            <sz val="8"/>
            <color indexed="81"/>
            <rFont val="Tahoma"/>
            <family val="2"/>
          </rPr>
          <t>INDICAR EL FOLIO DE LA IDENTIFICACIÓN OFICIAL QUE PRESENTO EL TITULAR O REPRESENTANTE LEGAL</t>
        </r>
      </text>
    </comment>
    <comment ref="F20" authorId="0">
      <text>
        <r>
          <rPr>
            <sz val="8"/>
            <color indexed="81"/>
            <rFont val="Tahoma"/>
            <family val="2"/>
          </rPr>
          <t>INDICAR EL # DE EVENTO EN QUE FUE ADJUDICADO EL CLIENTE, PUEDE OBTENERSE DEL ESTADO DE CUENTA EN EL ENCABEZADO O EN EL CONTRATO DE PRENDA.</t>
        </r>
      </text>
    </comment>
    <comment ref="E22" authorId="0">
      <text>
        <r>
          <rPr>
            <sz val="8"/>
            <color indexed="81"/>
            <rFont val="Tahoma"/>
            <family val="2"/>
          </rPr>
          <t xml:space="preserve">INDICAR EL CATÁLOGO DE LA UNIDAD QUE SE ESTA ENTREGANDO, </t>
        </r>
        <r>
          <rPr>
            <b/>
            <sz val="8"/>
            <color indexed="81"/>
            <rFont val="Tahoma"/>
            <family val="2"/>
          </rPr>
          <t>NO LA CONTRATADA</t>
        </r>
      </text>
    </comment>
    <comment ref="I22" authorId="0">
      <text>
        <r>
          <rPr>
            <sz val="8"/>
            <color indexed="81"/>
            <rFont val="Tahoma"/>
            <family val="2"/>
          </rPr>
          <t>INDICAR DESCRIPCIÓN DE LA UNIDAD A ENTREGAR</t>
        </r>
      </text>
    </comment>
    <comment ref="L23" authorId="0">
      <text>
        <r>
          <rPr>
            <sz val="8"/>
            <color indexed="81"/>
            <rFont val="Tahoma"/>
            <family val="2"/>
          </rPr>
          <t>INDICAR EL # DE SERIE COMPLETO DE LA UNIDAD</t>
        </r>
      </text>
    </comment>
    <comment ref="E33" authorId="0">
      <text>
        <r>
          <rPr>
            <sz val="8"/>
            <color indexed="81"/>
            <rFont val="Tahoma"/>
            <family val="2"/>
          </rPr>
          <t>INDICAR TIPO DE IDENTIFICACIÓN OFICIAL QUE PRESENTO EL COOBLIGADO O GARANTE</t>
        </r>
      </text>
    </comment>
    <comment ref="K33" authorId="0">
      <text>
        <r>
          <rPr>
            <sz val="8"/>
            <color indexed="81"/>
            <rFont val="Tahoma"/>
            <family val="2"/>
          </rPr>
          <t>INDICAR EL FOLIO DE LA IDENTIFICACIÓN OFICIAL QUE PRESENTO EL COOBLIGADO O GARANTE</t>
        </r>
      </text>
    </comment>
    <comment ref="E43" authorId="0">
      <text>
        <r>
          <rPr>
            <sz val="8"/>
            <color indexed="81"/>
            <rFont val="Tahoma"/>
            <family val="2"/>
          </rPr>
          <t>INDICAR TIPO DE IDENTIFICACIÓN OFICIAL QUE PRESENTO EL COOBLIGADO O GARANTE</t>
        </r>
      </text>
    </comment>
    <comment ref="K43" authorId="0">
      <text>
        <r>
          <rPr>
            <sz val="8"/>
            <color indexed="81"/>
            <rFont val="Tahoma"/>
            <family val="2"/>
          </rPr>
          <t>INDICAR EL FOLIO DE LA IDENTIFICACIÓN OFICIAL QUE PRESENTO EL COOBLIGADO O GARANTE</t>
        </r>
      </text>
    </comment>
    <comment ref="E49" authorId="0">
      <text>
        <r>
          <rPr>
            <sz val="8"/>
            <color indexed="81"/>
            <rFont val="Tahoma"/>
            <family val="2"/>
          </rPr>
          <t>INDICAR TIPO DE IDENTIFICACIÓN OFICIAL QUE PRESENTO EL AVAL</t>
        </r>
      </text>
    </comment>
    <comment ref="K49" authorId="0">
      <text>
        <r>
          <rPr>
            <sz val="8"/>
            <color indexed="81"/>
            <rFont val="Tahoma"/>
            <family val="2"/>
          </rPr>
          <t>INDICAR EL FOLIO DE LA IDENTIFICACIÓN OFICIAL QUE PRESENTO EL AVAL</t>
        </r>
      </text>
    </comment>
    <comment ref="E59" authorId="0">
      <text>
        <r>
          <rPr>
            <sz val="8"/>
            <color indexed="81"/>
            <rFont val="Tahoma"/>
            <family val="2"/>
          </rPr>
          <t>INDICAR TIPO DE IDENTIFICACIÓN OFICIAL QUE PRESENTO EL AVAL</t>
        </r>
      </text>
    </comment>
    <comment ref="K59" authorId="0">
      <text>
        <r>
          <rPr>
            <sz val="8"/>
            <color indexed="81"/>
            <rFont val="Tahoma"/>
            <family val="2"/>
          </rPr>
          <t>INDICAR EL FOLIO DE LA IDENTIFICACIÓN OFICIAL QUE PRESENTO EL AVAL</t>
        </r>
      </text>
    </comment>
    <comment ref="F65" authorId="0">
      <text>
        <r>
          <rPr>
            <sz val="8"/>
            <color indexed="81"/>
            <rFont val="Tahoma"/>
            <family val="2"/>
          </rPr>
          <t>INDICAR LA FORMA DE PAGO DEL SEGURO AUTOMOTRIZ ELIGIDA POR EL TITULAR</t>
        </r>
      </text>
    </comment>
    <comment ref="F66" authorId="0">
      <text>
        <r>
          <rPr>
            <sz val="8"/>
            <color indexed="81"/>
            <rFont val="Tahoma"/>
            <family val="2"/>
          </rPr>
          <t>INDICAR EL NÚMERO DE MESES DE ACUERDO A LA FORMA DE PAGO ELEGIDA POR EL TITULAR</t>
        </r>
      </text>
    </comment>
    <comment ref="P67" authorId="0">
      <text>
        <r>
          <rPr>
            <sz val="8"/>
            <color indexed="81"/>
            <rFont val="Tahoma"/>
            <family val="2"/>
          </rPr>
          <t>EN CASO DE TENER SEGURO GRATIS, INDICAR LA ASEGURADORA DE LA 1A. PÓLIZA, DE LO CONTRARIO LA SELECCIONADA POR EL TITULAR.</t>
        </r>
      </text>
    </comment>
  </commentList>
</comments>
</file>

<file path=xl/sharedStrings.xml><?xml version="1.0" encoding="utf-8"?>
<sst xmlns="http://schemas.openxmlformats.org/spreadsheetml/2006/main" count="2681" uniqueCount="671">
  <si>
    <t>FR0402</t>
  </si>
  <si>
    <t>EXPLORER</t>
  </si>
  <si>
    <t>ESCORT ZX2</t>
  </si>
  <si>
    <t>GRAND MARQUIS</t>
  </si>
  <si>
    <t>LINCOLN</t>
  </si>
  <si>
    <t>MERCURY SABLE</t>
  </si>
  <si>
    <t>FR1207</t>
  </si>
  <si>
    <t>MUSTANG</t>
  </si>
  <si>
    <t>FR1801</t>
  </si>
  <si>
    <t>CLUB WAGON</t>
  </si>
  <si>
    <t>FR2101</t>
  </si>
  <si>
    <t>EXPEDITION</t>
  </si>
  <si>
    <t>FR2201</t>
  </si>
  <si>
    <t>FIESTA</t>
  </si>
  <si>
    <t>FR2501</t>
  </si>
  <si>
    <t>FOCUS</t>
  </si>
  <si>
    <t>FR2701</t>
  </si>
  <si>
    <t>ESCAPE</t>
  </si>
  <si>
    <t>EXCURSION</t>
  </si>
  <si>
    <t>FR2901</t>
  </si>
  <si>
    <t>IKON</t>
  </si>
  <si>
    <t>MONDEO</t>
  </si>
  <si>
    <t>KA</t>
  </si>
  <si>
    <t>THUNDERBIRD</t>
  </si>
  <si>
    <t>FR3501</t>
  </si>
  <si>
    <t>DIRECCIÓN DE SERVICIOS ESPECIALES</t>
  </si>
  <si>
    <t>TABLA DE FACTORES POR VIGENCIA</t>
  </si>
  <si>
    <t>Vigencia</t>
  </si>
  <si>
    <t>Factor de</t>
  </si>
  <si>
    <t>Meses</t>
  </si>
  <si>
    <t>DIRECCION DE SERVICIOS ESPECIALES</t>
  </si>
  <si>
    <t>TASAS DE RECARGO PAGO FRACCIONADO</t>
  </si>
  <si>
    <t>Número</t>
  </si>
  <si>
    <t>PERIODICIDAD</t>
  </si>
  <si>
    <t>TIR</t>
  </si>
  <si>
    <t>de pagos</t>
  </si>
  <si>
    <t>ANUAL</t>
  </si>
  <si>
    <t>SEMESTRAL</t>
  </si>
  <si>
    <t>TRIMESTRAL</t>
  </si>
  <si>
    <t>MENSUAL</t>
  </si>
  <si>
    <t>FIVE HUNDRED</t>
  </si>
  <si>
    <t>FR0201</t>
  </si>
  <si>
    <t>ECONOLINE</t>
  </si>
  <si>
    <t>FR0401</t>
  </si>
  <si>
    <t>F-150</t>
  </si>
  <si>
    <t>FR0501</t>
  </si>
  <si>
    <t>F-250</t>
  </si>
  <si>
    <t>FR0618</t>
  </si>
  <si>
    <t>PICK-UP RANGER</t>
  </si>
  <si>
    <t>FR1201</t>
  </si>
  <si>
    <t>COURIER</t>
  </si>
  <si>
    <t>FR0101</t>
  </si>
  <si>
    <t>F-350</t>
  </si>
  <si>
    <t>F-450 SUPER DUTY</t>
  </si>
  <si>
    <t>F-700</t>
  </si>
  <si>
    <t>LOBO</t>
  </si>
  <si>
    <t>F.550</t>
  </si>
  <si>
    <t>Mp Contado</t>
  </si>
  <si>
    <t>Mp Anual</t>
  </si>
  <si>
    <t>Mp Semestral</t>
  </si>
  <si>
    <t>Mp Trimestral</t>
  </si>
  <si>
    <t>Mp Mensual</t>
  </si>
  <si>
    <t>meses de aseguramiento</t>
  </si>
  <si>
    <t>Pagos</t>
  </si>
  <si>
    <t>Prima Neta</t>
  </si>
  <si>
    <t>Auto</t>
  </si>
  <si>
    <t>Camión</t>
  </si>
  <si>
    <t>Vehículo</t>
  </si>
  <si>
    <t>Tipo</t>
  </si>
  <si>
    <t>No. De pagos</t>
  </si>
  <si>
    <t>Prima parcial</t>
  </si>
  <si>
    <t>Prima total</t>
  </si>
  <si>
    <t>Valor Factura</t>
  </si>
  <si>
    <t>Meses de seguro</t>
  </si>
  <si>
    <t>pn + gastos</t>
  </si>
  <si>
    <t>factor largo plazo</t>
  </si>
  <si>
    <t>Prima neta</t>
  </si>
  <si>
    <t>calcula vigencia</t>
  </si>
  <si>
    <t>MERCURY MARINER</t>
  </si>
  <si>
    <t>FR0291</t>
  </si>
  <si>
    <t>FR0591</t>
  </si>
  <si>
    <t>FR0691</t>
  </si>
  <si>
    <t>FR0192</t>
  </si>
  <si>
    <t>FR0491</t>
  </si>
  <si>
    <t>Cuota fija de RC</t>
  </si>
  <si>
    <t>Cuota</t>
  </si>
  <si>
    <t>Udi pn</t>
  </si>
  <si>
    <t>Recargo por pago fraccionado</t>
  </si>
  <si>
    <t>Udi de recargo</t>
  </si>
  <si>
    <t xml:space="preserve"> Pn + gastos + recargo</t>
  </si>
  <si>
    <t>Tarifa actual</t>
  </si>
  <si>
    <t>Factor</t>
  </si>
  <si>
    <t>Factor Puro</t>
  </si>
  <si>
    <t>Constante de Responsabilidad Civil</t>
  </si>
  <si>
    <t>Tipo de pago</t>
  </si>
  <si>
    <t>Factor multianual</t>
  </si>
  <si>
    <t>Gastos</t>
  </si>
  <si>
    <t>Gastos de expedición</t>
  </si>
  <si>
    <t>Actual</t>
  </si>
  <si>
    <t>IVA</t>
  </si>
  <si>
    <t>Total</t>
  </si>
  <si>
    <t>Derecho de Póliza</t>
  </si>
  <si>
    <t xml:space="preserve"> Pn + gastos + recargo + DP</t>
  </si>
  <si>
    <t>Freestar</t>
  </si>
  <si>
    <t>FUSION</t>
  </si>
  <si>
    <t>EDGE</t>
  </si>
  <si>
    <t>EXPLORER SPORT TRACK</t>
  </si>
  <si>
    <t>LINCOLN MARK LT</t>
  </si>
  <si>
    <t>CALCULO CORRECTO</t>
  </si>
  <si>
    <t>Courier</t>
  </si>
  <si>
    <t>Qualitas Compañía de Seguros</t>
  </si>
  <si>
    <t>TRANSIT VAN</t>
  </si>
  <si>
    <t>TRANSIT PASAJEROS</t>
  </si>
  <si>
    <t>AUTO</t>
  </si>
  <si>
    <t>ECONOLINE VAN</t>
  </si>
  <si>
    <t>Cotizador Qualitas / 1 Año VF / Promoción - Póliza 1 y 2</t>
  </si>
  <si>
    <t>Automóvil:</t>
  </si>
  <si>
    <t>Valor factura:</t>
  </si>
  <si>
    <t>Modelo:</t>
  </si>
  <si>
    <t>Catálogo:</t>
  </si>
  <si>
    <t>Un año</t>
  </si>
  <si>
    <t>CALCULO INCORRECTO</t>
  </si>
  <si>
    <t>FIESTA IKON</t>
  </si>
  <si>
    <t>NO APLICA</t>
  </si>
  <si>
    <t>(decremento)</t>
  </si>
  <si>
    <t>Recargos</t>
  </si>
  <si>
    <t>(incremento)</t>
  </si>
  <si>
    <t>Tarifa</t>
  </si>
  <si>
    <t xml:space="preserve"> </t>
  </si>
  <si>
    <t>ECOSPORT</t>
  </si>
  <si>
    <t>Udi Recargos</t>
  </si>
  <si>
    <t>Udi Prima Neta</t>
  </si>
  <si>
    <t>Propuesto</t>
  </si>
  <si>
    <t>Concepto</t>
  </si>
  <si>
    <t>Premisas</t>
  </si>
  <si>
    <t>ING COMERCIAL AMERICA</t>
  </si>
  <si>
    <t>Contado</t>
  </si>
  <si>
    <t>Cotizador AXA (PROMOCIÓN- Póliza 1 y 2)</t>
  </si>
  <si>
    <t>Constante</t>
  </si>
  <si>
    <t>Tarifa incremento</t>
  </si>
  <si>
    <t>AXA</t>
  </si>
  <si>
    <t>F-550</t>
  </si>
  <si>
    <t>No aplica recargo</t>
  </si>
  <si>
    <t>Mensual/Trimestral/Semestral/Anual</t>
  </si>
  <si>
    <t>Cotizador AXA (PROMOCIÓN - PÓLIZA 1 y 2)</t>
  </si>
  <si>
    <t>GNP</t>
  </si>
  <si>
    <t>QUALITAS</t>
  </si>
  <si>
    <t>Camion</t>
  </si>
  <si>
    <t>F-200</t>
  </si>
  <si>
    <t>F-450</t>
  </si>
  <si>
    <t>RANGER</t>
  </si>
  <si>
    <t>LINCOLN MKX</t>
  </si>
  <si>
    <t>ECONOLINE WAGON</t>
  </si>
  <si>
    <t>MERCURY MILAN</t>
  </si>
  <si>
    <t>LINCOLN MKS</t>
  </si>
  <si>
    <t>LINCOLN MKZ</t>
  </si>
  <si>
    <t>FREESTAR</t>
  </si>
  <si>
    <t xml:space="preserve">LINCOLN MARK LT                                   </t>
  </si>
  <si>
    <t>TARIFA ACTUAL</t>
  </si>
  <si>
    <t>ECO SPORT</t>
  </si>
  <si>
    <t>FIESTA HIGH</t>
  </si>
  <si>
    <t>GRUPO NACIONAL PROVINCIAL</t>
  </si>
  <si>
    <t>Integrante</t>
  </si>
  <si>
    <t>Grupo</t>
  </si>
  <si>
    <t>Datos del Cliente</t>
  </si>
  <si>
    <t>Cotizador de Seguros GNP/Póliza 1 2011 y 2012</t>
  </si>
  <si>
    <t>FR1300</t>
  </si>
  <si>
    <t>FR1700</t>
  </si>
  <si>
    <t>FR1600</t>
  </si>
  <si>
    <t>FR4900</t>
  </si>
  <si>
    <t>FR0100</t>
  </si>
  <si>
    <t>FR0600</t>
  </si>
  <si>
    <t>FR1200</t>
  </si>
  <si>
    <t>FR0900</t>
  </si>
  <si>
    <t>FR2100</t>
  </si>
  <si>
    <t>FR4600</t>
  </si>
  <si>
    <t>FR1000</t>
  </si>
  <si>
    <t>FR4700</t>
  </si>
  <si>
    <t>FR5400</t>
  </si>
  <si>
    <t>FR2600</t>
  </si>
  <si>
    <t>FR0400</t>
  </si>
  <si>
    <t>FR5100</t>
  </si>
  <si>
    <t>FR2700</t>
  </si>
  <si>
    <t>FR4200</t>
  </si>
  <si>
    <t>FR2500</t>
  </si>
  <si>
    <t>FR2900</t>
  </si>
  <si>
    <t>FR3500</t>
  </si>
  <si>
    <t>FR3200</t>
  </si>
  <si>
    <t>TIPO</t>
  </si>
  <si>
    <t>CLAVE 
DE MARCA</t>
  </si>
  <si>
    <t>Cotizador de Seguros GNP / Póliza 1 2013</t>
  </si>
  <si>
    <t>FR0700</t>
  </si>
  <si>
    <t>F-200 LOBO</t>
  </si>
  <si>
    <t>Cotizador de Seguros GNP / Póliza 2 2011 y 2012</t>
  </si>
  <si>
    <t>Cotizador de Seguros GNP / Póliza 2 2013</t>
  </si>
  <si>
    <t>Prima Menor</t>
  </si>
  <si>
    <t>Promoción un año</t>
  </si>
  <si>
    <t>SI</t>
  </si>
  <si>
    <t>NO</t>
  </si>
  <si>
    <t>Meses restantes:</t>
  </si>
  <si>
    <t>COTIZADOR DE SEGURO AUTOMOTRIZ</t>
  </si>
  <si>
    <t>PÓLIZA 2</t>
  </si>
  <si>
    <t>No. De serie:</t>
  </si>
  <si>
    <t>Distribuidora:</t>
  </si>
  <si>
    <t>fecha de cotización:</t>
  </si>
  <si>
    <t>Observaciones:</t>
  </si>
  <si>
    <t>Cotización informativa sujeta a cambios sin previo aviso</t>
  </si>
  <si>
    <t>Exclusivo plan promocional un año de seguro</t>
  </si>
  <si>
    <t>Firma:</t>
  </si>
  <si>
    <t>Enero</t>
  </si>
  <si>
    <t>Febrero</t>
  </si>
  <si>
    <t>Marzo</t>
  </si>
  <si>
    <t>Abril</t>
  </si>
  <si>
    <t>Mayo</t>
  </si>
  <si>
    <t>Junio</t>
  </si>
  <si>
    <t>Julio</t>
  </si>
  <si>
    <t>Agosto</t>
  </si>
  <si>
    <t>Septiembre</t>
  </si>
  <si>
    <t>Octubre</t>
  </si>
  <si>
    <t>Noviembre</t>
  </si>
  <si>
    <t>Diciembre</t>
  </si>
  <si>
    <t>ECO-SPORT</t>
  </si>
  <si>
    <t>LINCOLN NAVIGATOR</t>
  </si>
  <si>
    <t>CAPTURA DE DATOS</t>
  </si>
  <si>
    <t>DATOS DEL CLIENTE</t>
  </si>
  <si>
    <t>IFE</t>
  </si>
  <si>
    <t>PASAPORTE</t>
  </si>
  <si>
    <t>CÉD. PROFESIONAL</t>
  </si>
  <si>
    <t>Persona Física o Moral</t>
  </si>
  <si>
    <t>Fecha</t>
  </si>
  <si>
    <t>CRED. IMSS</t>
  </si>
  <si>
    <t>Nombre del Rep. Legal:</t>
  </si>
  <si>
    <t>FÍSICA</t>
  </si>
  <si>
    <t>Ap. Paterno:</t>
  </si>
  <si>
    <t>Ap. Materno:</t>
  </si>
  <si>
    <t>MORAL</t>
  </si>
  <si>
    <t>CONTADO</t>
  </si>
  <si>
    <t>Ident.Oficial.</t>
  </si>
  <si>
    <t>N°/Folio</t>
  </si>
  <si>
    <t>ANUALES</t>
  </si>
  <si>
    <t>SEMESTRALES</t>
  </si>
  <si>
    <t>Domicilio:</t>
  </si>
  <si>
    <t>Ford</t>
  </si>
  <si>
    <t>TRIMESTRALES</t>
  </si>
  <si>
    <t>Calle y N°</t>
  </si>
  <si>
    <t>Colonia/Fracc.:</t>
  </si>
  <si>
    <t>Otras marcas</t>
  </si>
  <si>
    <t>MENSUALES</t>
  </si>
  <si>
    <t>Ciudad/Mnpio</t>
  </si>
  <si>
    <t>Estado</t>
  </si>
  <si>
    <t>C.P.</t>
  </si>
  <si>
    <t>SÍ</t>
  </si>
  <si>
    <t>Evento de Adjudicación</t>
  </si>
  <si>
    <t>Bid</t>
  </si>
  <si>
    <t>Catálogo</t>
  </si>
  <si>
    <t>Unidad</t>
  </si>
  <si>
    <t xml:space="preserve">Monto de la unidad  </t>
  </si>
  <si>
    <t>ENERO</t>
  </si>
  <si>
    <t>N° de Factura</t>
  </si>
  <si>
    <t>Modelo</t>
  </si>
  <si>
    <t>N° de Serie</t>
  </si>
  <si>
    <t xml:space="preserve">Marca  </t>
  </si>
  <si>
    <t>FEBRERO</t>
  </si>
  <si>
    <t>MARZO</t>
  </si>
  <si>
    <t>ABRIL</t>
  </si>
  <si>
    <t>DATOS DEL COOBLIGADO, GARANTE O AVAL</t>
  </si>
  <si>
    <t>MAYO</t>
  </si>
  <si>
    <t>JUNIO</t>
  </si>
  <si>
    <t>JULIO</t>
  </si>
  <si>
    <t>DATOS DEL COOBLIGADO O GARANTE (1)</t>
  </si>
  <si>
    <t>AGOSTO</t>
  </si>
  <si>
    <t>SEPTIEMBRE</t>
  </si>
  <si>
    <t>Nombre(s)</t>
  </si>
  <si>
    <t>OCTUBRE</t>
  </si>
  <si>
    <t>NOVIEMBRE</t>
  </si>
  <si>
    <t>DICIEMBRE</t>
  </si>
  <si>
    <t>Domicilio</t>
  </si>
  <si>
    <t>Calle y N°:</t>
  </si>
  <si>
    <t>Ciudad/Mnpio:</t>
  </si>
  <si>
    <t>DATOS DEL COOBLIGADO O GARANTE (2)</t>
  </si>
  <si>
    <t>DATOS DEL AVAL (1)</t>
  </si>
  <si>
    <t>Colonia/Fracc.</t>
  </si>
  <si>
    <t>DATOS DEL AVAL (2)</t>
  </si>
  <si>
    <t>DATOS DEL SEGURO</t>
  </si>
  <si>
    <t>Forma de pago:</t>
  </si>
  <si>
    <t>¿Seguro gratis?</t>
  </si>
  <si>
    <t>Meses de Seguro</t>
  </si>
  <si>
    <t>Fecha Entrega</t>
  </si>
  <si>
    <t xml:space="preserve">Aseguradora Elegida </t>
  </si>
  <si>
    <t>Quálitas</t>
  </si>
  <si>
    <t>N° de pagos</t>
  </si>
  <si>
    <t>* Valor Factura Primer año, Valor comercial años subsecuentes</t>
  </si>
  <si>
    <t xml:space="preserve">Tipo Unidad </t>
  </si>
  <si>
    <t>* Valor Factura  los primeros 2 años, Valor comercial años subsecuentes</t>
  </si>
  <si>
    <t>NOTA: ESTOS DATOS TOMARLOS DE LA COTIZACIÓN DEL SISTEMA O LA ENVIADA POR SEGUROS.</t>
  </si>
  <si>
    <t>Exclusivo para Camiones</t>
  </si>
  <si>
    <t>Nota: En caso de pérdida total durante el primer año de vigencia, se indemnizará a Valor Factura y subsecuentes a Valor Comercial.</t>
  </si>
  <si>
    <t>PARTICULAR</t>
  </si>
  <si>
    <t>Responsabilidad Civil en el Extranjero</t>
  </si>
  <si>
    <t>Nota: En caso de pérdida total durante los dos primeros años de vigencia, se indemnizará a Valor Factura y subsecuentes a Valor Comercial.</t>
  </si>
  <si>
    <t>Uso:</t>
  </si>
  <si>
    <t>Mercancia que se transporta:</t>
  </si>
  <si>
    <t>PÚBLICO</t>
  </si>
  <si>
    <t>CAMIÓN</t>
  </si>
  <si>
    <t>Daños por la Carga Tipo "B"</t>
  </si>
  <si>
    <t xml:space="preserve">Giro del Negocio: </t>
  </si>
  <si>
    <t xml:space="preserve">ELABORÓ: </t>
  </si>
  <si>
    <t xml:space="preserve">NOMBRE GERENTE CONAUTO: </t>
  </si>
  <si>
    <t>S/N</t>
  </si>
  <si>
    <t>FECHA:</t>
  </si>
  <si>
    <t>FOLIO:</t>
  </si>
  <si>
    <t>Anterior (Cambio Febrero)</t>
  </si>
  <si>
    <t>ZB014963</t>
  </si>
  <si>
    <t>Normal</t>
  </si>
  <si>
    <t>PR012821</t>
  </si>
  <si>
    <t>ZB014961</t>
  </si>
  <si>
    <t>Seguro Gratis</t>
  </si>
  <si>
    <t>ZB007889</t>
  </si>
  <si>
    <t>EXCLUSIVAMENTE  PROGRAMA CONAUTO</t>
  </si>
  <si>
    <t>Por la presente se otorga cobertura provisional a partir del</t>
  </si>
  <si>
    <t xml:space="preserve"> Y POR TREINTA DIAS</t>
  </si>
  <si>
    <t>NATURALES   a la unidad propiedad de quien a continuación se describe y  con las  coberturas señaladas, creando obligaciones por ambas partes. Cualquier alteración o corrección presentada en este documento anulará la responsabilidad de la compañía de Seguros.</t>
  </si>
  <si>
    <t>DATOS DEL ASEGURADO</t>
  </si>
  <si>
    <t xml:space="preserve">NOMBRE DEL ASEGURADO: </t>
  </si>
  <si>
    <t>R.F.C.</t>
  </si>
  <si>
    <t>DIRECCION:</t>
  </si>
  <si>
    <t>COL.:</t>
  </si>
  <si>
    <t>CUIDAD POBLACION:</t>
  </si>
  <si>
    <t>C.P.:</t>
  </si>
  <si>
    <r>
      <t>DATOS DEL AGENTE</t>
    </r>
    <r>
      <rPr>
        <sz val="8"/>
        <rFont val="Tahoma"/>
        <family val="2"/>
      </rPr>
      <t>:</t>
    </r>
  </si>
  <si>
    <t xml:space="preserve">Nombre:                 </t>
  </si>
  <si>
    <t>AON RISK SERVICES, AGENTE DE SEGUROS Y FIANZAS</t>
  </si>
  <si>
    <t xml:space="preserve">Número de Agente: </t>
  </si>
  <si>
    <t>029580</t>
  </si>
  <si>
    <t>Centro de Costos:</t>
  </si>
  <si>
    <t>099854</t>
  </si>
  <si>
    <t>VEHICULO AMPARADO</t>
  </si>
  <si>
    <t xml:space="preserve">MARCA: </t>
  </si>
  <si>
    <t>DESCRIPCION:</t>
  </si>
  <si>
    <t>Catálogo Ford:</t>
  </si>
  <si>
    <t>MODELO</t>
  </si>
  <si>
    <t>NUMERO DE SERIE</t>
  </si>
  <si>
    <t>NUMERO DE MOTOR</t>
  </si>
  <si>
    <t>PLACAS</t>
  </si>
  <si>
    <t>COBERTURAS Y LIMITES</t>
  </si>
  <si>
    <t>COBERTURA</t>
  </si>
  <si>
    <t>SUMA ASEGURADA</t>
  </si>
  <si>
    <t>DEDUCIBLE</t>
  </si>
  <si>
    <t>DAÑOS MATERIALES</t>
  </si>
  <si>
    <t>Valor FACTURA *</t>
  </si>
  <si>
    <t>ROBO TOTAL</t>
  </si>
  <si>
    <t>RESPONSABILIDAD CIVIL (LUC) Y SERVICIOS DE ASISTENCIA</t>
  </si>
  <si>
    <t>-</t>
  </si>
  <si>
    <t>RESPONSABILIDAD CIVIL PERSONAS EN EXCESO</t>
  </si>
  <si>
    <t>EXTENSION DE RESPONSABILIDAD CIVIL</t>
  </si>
  <si>
    <t>Amparado</t>
  </si>
  <si>
    <t>GASTOS MEDICOS POR OCUPANTE</t>
  </si>
  <si>
    <t>DEFENSA LEGAL</t>
  </si>
  <si>
    <t>ACCIDENTES AUT. AL CONDUCTOR</t>
  </si>
  <si>
    <t>PRIMA TOTAL DEL SEGURO:</t>
  </si>
  <si>
    <t>Grupo:</t>
  </si>
  <si>
    <t>FORMA DE PAGO:</t>
  </si>
  <si>
    <t>PRIMA PARCIAL:</t>
  </si>
  <si>
    <t>Vigencia del:</t>
  </si>
  <si>
    <t>al:</t>
  </si>
  <si>
    <t>En caso de siniestro comunicarse a los siguientes teléfonos:</t>
  </si>
  <si>
    <t>México</t>
  </si>
  <si>
    <t>01800-911-1292</t>
  </si>
  <si>
    <t xml:space="preserve">                     (1AXA)</t>
  </si>
  <si>
    <t>Estados Unidos</t>
  </si>
  <si>
    <t>1 866 433 3231</t>
  </si>
  <si>
    <t>SELLO DE LA AGENCIA</t>
  </si>
  <si>
    <t>Canadá y Guatemala</t>
  </si>
  <si>
    <t>(52 55) 51 69 30 26</t>
  </si>
  <si>
    <t>CARTA COBERTURA</t>
  </si>
  <si>
    <t>PROGRAMA DE SEGUROS DE AUTOS CONAUTO</t>
  </si>
  <si>
    <t>Número de Contrato:</t>
  </si>
  <si>
    <t>Nombre del Titular del Crédito :</t>
  </si>
  <si>
    <t>Inicio de Vigencia :</t>
  </si>
  <si>
    <t>Fin de Vigencia :</t>
  </si>
  <si>
    <t>COBERTURA PROVISIONAL  No.  33753</t>
  </si>
  <si>
    <t>Estimado Asegurado:</t>
  </si>
  <si>
    <t xml:space="preserve">            </t>
  </si>
  <si>
    <t>Esta  carta  es  una  cobertura  provisional  que  usted  tendrá  por  haber  adquirido  un  automóvil  a  través  de CONAUTO, el cual se encuentra  asegurado  desde  el  momento  de  su  adquisición  con Quálitas Compañía de Seguros, S.A.B. Bajo las siguientes coberturas, límites y deducibles:</t>
  </si>
  <si>
    <t>Vehículo Amparado :</t>
  </si>
  <si>
    <t>Marca :</t>
  </si>
  <si>
    <t>Catálogo (Ford):</t>
  </si>
  <si>
    <t>Valor Factura :</t>
  </si>
  <si>
    <t>Descripción :</t>
  </si>
  <si>
    <t>Modelo :</t>
  </si>
  <si>
    <t>No. de Serie :</t>
  </si>
  <si>
    <t>Cobertura</t>
  </si>
  <si>
    <t>Límite Máximo de Responsabilidad</t>
  </si>
  <si>
    <t>Deducible</t>
  </si>
  <si>
    <t>Daños Materiales</t>
  </si>
  <si>
    <t>Cristales</t>
  </si>
  <si>
    <t>Robo Total</t>
  </si>
  <si>
    <t>Responsabilidad Civil</t>
  </si>
  <si>
    <t>No Aplica</t>
  </si>
  <si>
    <t>Responsabilidad Civil Complementaria</t>
  </si>
  <si>
    <t xml:space="preserve">Extensión de RC, GM, GL, AV </t>
  </si>
  <si>
    <t>Gastos Médicos</t>
  </si>
  <si>
    <t>Defensa Legal</t>
  </si>
  <si>
    <t>Asistencia Vial</t>
  </si>
  <si>
    <t>Accidentes al Conductor</t>
  </si>
  <si>
    <t>En tanto recibe la póliza definitiva, la presente cobertura provisional surtirá efecto durante los primeros 30 días a partir de la fecha de expedición de esta carta a  fin de que le proporcionemos atención y servicio en caso de presentarse un siniestro. Para tal fin, enseguida le indicamos los teléfonos en los cuales podrá reportar su eventualidad:</t>
  </si>
  <si>
    <t xml:space="preserve">Cualquier atención en zona metropolitana e interior de la república, reportarlo a: </t>
  </si>
  <si>
    <t>01 800 800 28 80</t>
  </si>
  <si>
    <t>01 800 288 67 00</t>
  </si>
  <si>
    <t>Monterrey</t>
  </si>
  <si>
    <t>(81) 83-49-24-15</t>
  </si>
  <si>
    <t>01 (81) 84-01-81-13</t>
  </si>
  <si>
    <t>Guadalajara</t>
  </si>
  <si>
    <t>01 (33) 10-57-20-00</t>
  </si>
  <si>
    <t>01 (36) 36-30-17-50</t>
  </si>
  <si>
    <t>ATENTAMENTE</t>
  </si>
  <si>
    <t>Lic. Marisol R. R.</t>
  </si>
  <si>
    <t>Gerente Comercial</t>
  </si>
  <si>
    <t>CONTRATO NASA:</t>
  </si>
  <si>
    <t>Folio</t>
  </si>
  <si>
    <t>NUMERO DE PÓLIZA</t>
  </si>
  <si>
    <t>Folio certificado</t>
  </si>
  <si>
    <t>048</t>
  </si>
  <si>
    <t xml:space="preserve">  Nombre y Dirección del Asegurado</t>
  </si>
  <si>
    <t>Paquete contratado</t>
  </si>
  <si>
    <t xml:space="preserve">  a) Paquete 1. Cobertura Amplia</t>
  </si>
  <si>
    <t xml:space="preserve">  b) Paquete 2. Cobertura Limitada</t>
  </si>
  <si>
    <t xml:space="preserve">  c) Paquete 3. Cobertura R.C.</t>
  </si>
  <si>
    <t>O.T.</t>
  </si>
  <si>
    <t>Doc.</t>
  </si>
  <si>
    <t>Fecha de Expedición</t>
  </si>
  <si>
    <t>Renueva a</t>
  </si>
  <si>
    <t>Agente</t>
  </si>
  <si>
    <t>Duración</t>
  </si>
  <si>
    <t>Día</t>
  </si>
  <si>
    <t>Mes</t>
  </si>
  <si>
    <t>Año</t>
  </si>
  <si>
    <t>DESCRIPCIÓN DEL VEHÍCULO</t>
  </si>
  <si>
    <t>No.  Inciso</t>
  </si>
  <si>
    <t>Cve. Nasa</t>
  </si>
  <si>
    <t xml:space="preserve">                 Nombre comercial, marca y tipo de carrocería</t>
  </si>
  <si>
    <t xml:space="preserve">    Capacidad</t>
  </si>
  <si>
    <t xml:space="preserve"> Serie</t>
  </si>
  <si>
    <t>Motor</t>
  </si>
  <si>
    <t>Placas</t>
  </si>
  <si>
    <t xml:space="preserve">    Uso</t>
  </si>
  <si>
    <t xml:space="preserve">         Servicio</t>
  </si>
  <si>
    <t>Clase de Mercancía</t>
  </si>
  <si>
    <t>S/P</t>
  </si>
  <si>
    <t>COBERTURAS BÁSICAS</t>
  </si>
  <si>
    <t>LIMITE MAXIMO DE RESPONSABILIDAD</t>
  </si>
  <si>
    <t>A</t>
  </si>
  <si>
    <t>E</t>
  </si>
  <si>
    <t>VALOR COMERCIAL</t>
  </si>
  <si>
    <t>Daños materiales   5</t>
  </si>
  <si>
    <t>%</t>
  </si>
  <si>
    <t>Robo total            10</t>
  </si>
  <si>
    <t>R.C. por daños a terceros en sus bienes o en sus personas</t>
  </si>
  <si>
    <t>Fianza Garantizada y Asistencia Legal A</t>
  </si>
  <si>
    <t>$1,000,000,00</t>
  </si>
  <si>
    <t>Gastos Médicos Ocupantes</t>
  </si>
  <si>
    <t>IMPORTANTE: VER POLÍTICA DE</t>
  </si>
  <si>
    <t>Accidentes al conductor</t>
  </si>
  <si>
    <t xml:space="preserve">            DEDUCIBLE ABAJO</t>
  </si>
  <si>
    <t>Extensión de RC</t>
  </si>
  <si>
    <t xml:space="preserve">    Descripción Mercancía:</t>
  </si>
  <si>
    <t>Protección auxiliar</t>
  </si>
  <si>
    <t>Ajuste Automático de Sumas Aseguradas</t>
  </si>
  <si>
    <t>% Máximo en adición a las Sumas Aseguradas Contratadas</t>
  </si>
  <si>
    <t>Prima Total</t>
  </si>
  <si>
    <t>Observaciones</t>
  </si>
  <si>
    <t>Grupo Nacional Provincial S. A. B.</t>
  </si>
  <si>
    <t>ASEGURADO</t>
  </si>
  <si>
    <t>OBSERVACIONES:</t>
  </si>
  <si>
    <t>1.-</t>
  </si>
  <si>
    <t>ESTE CERTIFICADO SE MANTENDRÁ EN VIGOR SIEMPRE QUE EL CONTRATANTE SE ENCUENTRE AL  CORRIENTE EN</t>
  </si>
  <si>
    <t>SUS PAGOS Y LA PÓLIZA DEL VEHÍCULO ASEGURADO SE ENCUENTRE VIGENTE.</t>
  </si>
  <si>
    <t>2.-</t>
  </si>
  <si>
    <t>EN CASO DE OMITIRSE INFORMACIÓN RESPECTO DE "SUMAS ASEGURADAS",  "DEDUCIBLES",  Y "PORCENTAJE   DE</t>
  </si>
  <si>
    <t xml:space="preserve">AJUSTE AUTOMÁTICO", ÉSTA SE OBTENDRÁ DIRECTAMENTE DE LA TARIFA QUE  SE   ENCONTRÓ   VIGENTE   EN  LA </t>
  </si>
  <si>
    <t>FECHA DE INICIO DE VIGENCIA DE LA PÓLIZA, CONSIDERANDO LOS LÍMITES  DE  RESPONSABILIDAD  ESTABLECIDOS</t>
  </si>
  <si>
    <t>COMO MÍNIMO EN LA TARIFA CORRESPONDIENTE A LA FECHA DEL SEGURO.</t>
  </si>
  <si>
    <t>3.-</t>
  </si>
  <si>
    <t>LA SUMA ASEGURADA PARA GASTOS MÉDICOS OCUPANTES OPERA COMO SIGUE:</t>
  </si>
  <si>
    <t>$250,000           AUTOS      USO PARTICULAR</t>
  </si>
  <si>
    <t>$150,000            CAMIONES  USO PARTICULAR</t>
  </si>
  <si>
    <t>4.-</t>
  </si>
  <si>
    <t>EN CERTIFICADOS O PÓLIZAS MULTIANUALES (CON VIGENCIA MAYOR A 12 MESES) AL DECRETARSE PÉRDIDA TOTAL</t>
  </si>
  <si>
    <t>DE LA UNIDAD LA BASE DE LA INDEMNIZACIÓN SERÁ LA SIGUIENTE:</t>
  </si>
  <si>
    <t>DURANTE EL PRIMER AÑO DE VIGENCIA DE LA PÓLIZA SE TOMARÁ EL VALOR FACTURADO DE LA UNIDAD (QUE DEBERÁ SER IGUAL AL VALOR DE LA FACTURA DE LA UNIDAD ENTREGADA)</t>
  </si>
  <si>
    <t>DURANTE LOS DOS PRIMEROS AÑOS DE VIGENCIA DE LA PÓLIZA, SE TOMARÁ EL VALOR FACTURADO DE LA UNIDAD (QUE DEBERÁ SER IGUAL AL VALOR DE LA FACTURA DE LA UNIDAD ENTREGADA)</t>
  </si>
  <si>
    <t>PARA LOS AÑOS SUBSECUENTES SERÁ EL VALOR COMERCIAL DE LA UNIDAD AL MOMENTO DEL SINIESTRO</t>
  </si>
  <si>
    <t>LO ANTERIOR ESTÁ FUNDAMENTADO EN LAS CONDICIONES GENERALES DE LA PÓLIZA BAJO LA CLÁUSULA DE:</t>
  </si>
  <si>
    <t>"SUMAS ASEGURADAS Y BASE DE EVALUACIÓN"</t>
  </si>
  <si>
    <t>S.A.:</t>
  </si>
  <si>
    <t>AON/CONAUTO</t>
  </si>
  <si>
    <t>Mensual</t>
  </si>
  <si>
    <t>Semestral</t>
  </si>
  <si>
    <t>Trimestral</t>
  </si>
  <si>
    <t>Anual</t>
  </si>
  <si>
    <t>CÁLCULO DE MENSUALIDADES</t>
  </si>
  <si>
    <t>Duración:</t>
  </si>
  <si>
    <t>Desgloce Mes Inicio</t>
  </si>
  <si>
    <t>Cálculo de Fechas</t>
  </si>
  <si>
    <t>Meses Seg. Gratis</t>
  </si>
  <si>
    <t>Duración del plan</t>
  </si>
  <si>
    <t>Fecha 1a. mensualidad (estado de cuenta)</t>
  </si>
  <si>
    <t>Fecha de entrega de unidad</t>
  </si>
  <si>
    <t>Cuotas anticipadas</t>
  </si>
  <si>
    <t>Monto de carta de crédito</t>
  </si>
  <si>
    <t>Monto de factura</t>
  </si>
  <si>
    <t>Mes Inicio Seguro</t>
  </si>
  <si>
    <t>Monto de la 1a. Mensualidad de adjudicado</t>
  </si>
  <si>
    <t>Meses Transc.</t>
  </si>
  <si>
    <t>Meses Seguro Gratis (según promoción)</t>
  </si>
  <si>
    <t>Meses restantes</t>
  </si>
  <si>
    <t>Fecha de última mensualidad</t>
  </si>
  <si>
    <t>Dif. C.C. vs Fact.</t>
  </si>
  <si>
    <t>Última Mens.</t>
  </si>
  <si>
    <t xml:space="preserve">Acepto la aseguradora: </t>
  </si>
  <si>
    <t xml:space="preserve">Con forma de pago: </t>
  </si>
  <si>
    <t>PÓLIZA 1</t>
  </si>
  <si>
    <t>Apellido paterno:</t>
  </si>
  <si>
    <t>Apellido materno:</t>
  </si>
  <si>
    <t>Integrante:</t>
  </si>
  <si>
    <t>Jacobo Rodríguez Motors</t>
  </si>
  <si>
    <t>AP Automotriz</t>
  </si>
  <si>
    <t>Automotriz Tampico</t>
  </si>
  <si>
    <t>Automotriz de Tuxpam</t>
  </si>
  <si>
    <t>Motores de Morelos</t>
  </si>
  <si>
    <t>Automotriz Huasteca</t>
  </si>
  <si>
    <t>Automotriz Monclova</t>
  </si>
  <si>
    <t>Automotriz Monterrey</t>
  </si>
  <si>
    <t>Automotriz Reynosa</t>
  </si>
  <si>
    <t>Automotriz Río Bravo</t>
  </si>
  <si>
    <t>Automotriz Victoria</t>
  </si>
  <si>
    <t>Automóviles</t>
  </si>
  <si>
    <t>Autos y Accesorios</t>
  </si>
  <si>
    <t>Autos y Accesorios (Suc. Navojoa)</t>
  </si>
  <si>
    <t>Alden Concesionaria Tacubaya</t>
  </si>
  <si>
    <t>Casa Ramos</t>
  </si>
  <si>
    <t xml:space="preserve">CDA Península </t>
  </si>
  <si>
    <t>Chihuahua Motors</t>
  </si>
  <si>
    <t>Distribuidora de Automóviles</t>
  </si>
  <si>
    <t>Distribuidora Regional</t>
  </si>
  <si>
    <t>Jiménez</t>
  </si>
  <si>
    <t>Cever Durango, Mendivil Motors</t>
  </si>
  <si>
    <t>Mexicana Automotriz</t>
  </si>
  <si>
    <t>Morelia Automotriz</t>
  </si>
  <si>
    <t>Automovilística Veracruzana</t>
  </si>
  <si>
    <t>Rangel de Alba</t>
  </si>
  <si>
    <t>Super Autos Jalapa</t>
  </si>
  <si>
    <t>Superservicio</t>
  </si>
  <si>
    <t>Córdoba Automotriz</t>
  </si>
  <si>
    <t>Mybsa</t>
  </si>
  <si>
    <t>Autocamiones Universidad</t>
  </si>
  <si>
    <t>Automotores de Cuauhtemoc</t>
  </si>
  <si>
    <t>Plasencia Guadalajara</t>
  </si>
  <si>
    <t>Automóviles de Valles</t>
  </si>
  <si>
    <t>Acapulco</t>
  </si>
  <si>
    <t>Automóviles (Suc. Matamoros)</t>
  </si>
  <si>
    <t>Zapata</t>
  </si>
  <si>
    <t>Autocamiones de Guerrero</t>
  </si>
  <si>
    <t>Vehículos de Teziutlán</t>
  </si>
  <si>
    <t xml:space="preserve">Plasencia de Nayarit </t>
  </si>
  <si>
    <t xml:space="preserve">Automotriz del Valle de Baja California </t>
  </si>
  <si>
    <t>Autos y Accesorios (Suc. Los Mochis)</t>
  </si>
  <si>
    <t>Alden Juárez</t>
  </si>
  <si>
    <t>León Automotriz</t>
  </si>
  <si>
    <t>Distribuidores de Autocamiones de Chiapas</t>
  </si>
  <si>
    <t>Autos y Accesorios (Suc. Guaymas)</t>
  </si>
  <si>
    <t>Camsa</t>
  </si>
  <si>
    <t>Agencia Central Potosina</t>
  </si>
  <si>
    <t>Jalisco Motors</t>
  </si>
  <si>
    <t>Rivera</t>
  </si>
  <si>
    <t>Tabasco Automovilística</t>
  </si>
  <si>
    <t>Centro Automotriz de la Laguna</t>
  </si>
  <si>
    <t>Plasencia Mazatlán</t>
  </si>
  <si>
    <t>Automovilística Andrade</t>
  </si>
  <si>
    <t>Autos y Tractores de Culiacán</t>
  </si>
  <si>
    <t>Casa Ramos Delicias</t>
  </si>
  <si>
    <t>Autos y Tractores de Culiacán (Suc. Guamuchil)</t>
  </si>
  <si>
    <t>Jiménez Automotriz</t>
  </si>
  <si>
    <t>Autos de Tlaxcala</t>
  </si>
  <si>
    <t>Juan Osorio López Autos</t>
  </si>
  <si>
    <t>Juan Osorio López Autos Minatitlán</t>
  </si>
  <si>
    <t xml:space="preserve">Automóviles de Caborca </t>
  </si>
  <si>
    <t>Autos y Accesorios (Suc. Guasave)</t>
  </si>
  <si>
    <t>Autocamiones de Tapachula</t>
  </si>
  <si>
    <t>Plasencia Puerto Vallarta</t>
  </si>
  <si>
    <t>Productos Automotrices</t>
  </si>
  <si>
    <t>Automotores Coahuilenses</t>
  </si>
  <si>
    <t>Vehículos Automotrices de la Piedad</t>
  </si>
  <si>
    <t>Automotriz Baja Cal</t>
  </si>
  <si>
    <t>Mylsa</t>
  </si>
  <si>
    <t>Alden Tlalpan</t>
  </si>
  <si>
    <t>Ramsa Motors</t>
  </si>
  <si>
    <t xml:space="preserve">Tepatitlán Motors </t>
  </si>
  <si>
    <t>Picacho Grupo Automotriz</t>
  </si>
  <si>
    <t>Automotriz Elfer</t>
  </si>
  <si>
    <t>Lomas Automotriz</t>
  </si>
  <si>
    <t>Chontalpa Automovilística</t>
  </si>
  <si>
    <t>Country Motors</t>
  </si>
  <si>
    <t>Dinastía Automotriz México</t>
  </si>
  <si>
    <t>Montes Querétaro</t>
  </si>
  <si>
    <t>Automotriz Jalbra</t>
  </si>
  <si>
    <t>Automotriz Lomas San Luis</t>
  </si>
  <si>
    <t>Cever Azcapotzalco</t>
  </si>
  <si>
    <t>Aguascalientes Automotriz</t>
  </si>
  <si>
    <t>Gimsa Los Reyes</t>
  </si>
  <si>
    <t>Autocamiones La Fe</t>
  </si>
  <si>
    <t>Surman México</t>
  </si>
  <si>
    <t>Ecatepec</t>
  </si>
  <si>
    <t>Vehículos de Martínez</t>
  </si>
  <si>
    <t>Vehículos y Servicios Satélite</t>
  </si>
  <si>
    <t>Zapata (Suc. Texcoco)</t>
  </si>
  <si>
    <t>Automotriz del Valle de Zamora</t>
  </si>
  <si>
    <t>Sánchez Automotriz</t>
  </si>
  <si>
    <t>Autos de Hermosillo</t>
  </si>
  <si>
    <t>JOL Automotriz del Istmo</t>
  </si>
  <si>
    <t>CDA Península (Suc. Cancún)</t>
  </si>
  <si>
    <t>Lagos Autocamiones</t>
  </si>
  <si>
    <t>Centro Automotriz Vallarta (CAVSA)</t>
  </si>
  <si>
    <t xml:space="preserve">Autos SS Irapuato </t>
  </si>
  <si>
    <t>Car One Valle</t>
  </si>
  <si>
    <t>Mylsa Tehuacán</t>
  </si>
  <si>
    <t>Ramsa León</t>
  </si>
  <si>
    <t>Ramsa San Miguel</t>
  </si>
  <si>
    <t>Fema Automotriz</t>
  </si>
  <si>
    <t>Gimsa Automotriz</t>
  </si>
  <si>
    <t>Ravisa Motors</t>
  </si>
  <si>
    <t>Zapata (Suc. Pachuca)</t>
  </si>
  <si>
    <t>Colima Autocamiones</t>
  </si>
  <si>
    <t>Autos de Calidad de Zacatecas</t>
  </si>
  <si>
    <t>Automotores de Calidad</t>
  </si>
  <si>
    <t>Dinastía Automotriz Oaxaca</t>
  </si>
  <si>
    <t>Motores de Guerrero</t>
  </si>
  <si>
    <t xml:space="preserve">Rispe Automotriz </t>
  </si>
  <si>
    <t>Automotores Cumbres</t>
  </si>
  <si>
    <t>VESA Automotriz</t>
  </si>
  <si>
    <t>Catálogo de unidades</t>
  </si>
  <si>
    <t>Modelos</t>
  </si>
  <si>
    <t>Binario</t>
  </si>
  <si>
    <t>Fecha de Entrega</t>
  </si>
  <si>
    <t>Dia</t>
  </si>
  <si>
    <t>Descripción:</t>
  </si>
  <si>
    <t>Fecha de vencimiento</t>
  </si>
  <si>
    <t>Calendario</t>
  </si>
  <si>
    <t>Calcula fecha de entrega</t>
  </si>
  <si>
    <t>Distribuidoras</t>
  </si>
  <si>
    <t>Nombre (s):</t>
  </si>
  <si>
    <t>Fecha de entrega de unidad:</t>
  </si>
  <si>
    <t>Número de pagos</t>
  </si>
  <si>
    <t>La cotización con Quálitas es exclusiva para camiones con tipo de carga "A", si se requiere para otro tipo de carga es necesario que envíen solicitud de cotización a AON</t>
  </si>
  <si>
    <t>Tipo Carga Quálitas</t>
  </si>
  <si>
    <t>Un año de seguro automotriz gratis con la Aseguradora:</t>
  </si>
  <si>
    <t>CÁLCULO DE DIFERENCIA DE SEGUROS</t>
  </si>
  <si>
    <t>Seguro auto contratado:</t>
  </si>
  <si>
    <t>Seguro auto entregado:</t>
  </si>
  <si>
    <t>diferencia permitida</t>
  </si>
  <si>
    <t>Carta de crédito</t>
  </si>
  <si>
    <r>
      <t xml:space="preserve">Automóvil </t>
    </r>
    <r>
      <rPr>
        <b/>
        <i/>
        <sz val="9"/>
        <color indexed="9"/>
        <rFont val="Microsoft Sans Serif"/>
        <family val="2"/>
      </rPr>
      <t>contratado:</t>
    </r>
  </si>
  <si>
    <t>Diferencia en prima por depositar a Conauto:</t>
  </si>
  <si>
    <r>
      <t xml:space="preserve">Automóvil </t>
    </r>
    <r>
      <rPr>
        <b/>
        <i/>
        <sz val="9"/>
        <color indexed="9"/>
        <rFont val="Microsoft Sans Serif"/>
        <family val="2"/>
      </rPr>
      <t>a entregar:</t>
    </r>
  </si>
  <si>
    <t>Y3D</t>
  </si>
  <si>
    <t>FIESTA HATCH S T/M</t>
  </si>
  <si>
    <t>Autokam Automotriz</t>
  </si>
  <si>
    <t>Cotización del auto contratado</t>
  </si>
  <si>
    <t>La cotización con AXA es exclusiva para camiones con tipo de carga "A", si se requiere para otro tipo de carga es necesario que envíen solicitud de cotización a AON</t>
  </si>
  <si>
    <t>La cotización con GNP es exclusiva para camiones con tipo de carga "A", si se requiere para otro tipo de carga es necesario que envíen solicitud de cotización a AON</t>
  </si>
  <si>
    <t>Versión 2 para antes 31/12</t>
  </si>
</sst>
</file>

<file path=xl/styles.xml><?xml version="1.0" encoding="utf-8"?>
<styleSheet xmlns="http://schemas.openxmlformats.org/spreadsheetml/2006/main">
  <numFmts count="15">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00"/>
    <numFmt numFmtId="166" formatCode="_-* #,##0.0000_-;\-* #,##0.0000_-;_-* &quot;-&quot;??_-;_-@_-"/>
    <numFmt numFmtId="167" formatCode="_-* #,##0_-;\-* #,##0_-;_-* &quot;-&quot;??_-;_-@_-"/>
    <numFmt numFmtId="168" formatCode="0.0000%"/>
    <numFmt numFmtId="169" formatCode="0.00000"/>
    <numFmt numFmtId="170" formatCode="[$-80A]d&quot; de &quot;mmmm&quot; de &quot;yyyy;@"/>
    <numFmt numFmtId="171" formatCode="000"/>
    <numFmt numFmtId="177" formatCode="#,##0.00_ ;\-#,##0.00\ "/>
    <numFmt numFmtId="180" formatCode="_(* #,##0.00_);_(* \(#,##0.00\);_(* &quot;-&quot;??_);_(@_)"/>
    <numFmt numFmtId="181" formatCode="_(* #,##0\ &quot;pta&quot;_);_(* \(#,##0\ &quot;pta&quot;\);_(* &quot;-&quot;??\ &quot;pta&quot;_);_(@_)"/>
  </numFmts>
  <fonts count="91">
    <font>
      <sz val="10"/>
      <name val="Times New Roman"/>
    </font>
    <font>
      <sz val="10"/>
      <name val="Times New Roman"/>
      <family val="1"/>
    </font>
    <font>
      <sz val="10"/>
      <name val="Tahoma"/>
      <family val="2"/>
    </font>
    <font>
      <b/>
      <sz val="14"/>
      <name val="Arial"/>
      <family val="2"/>
    </font>
    <font>
      <sz val="8"/>
      <name val="MS Sans Serif"/>
      <family val="2"/>
    </font>
    <font>
      <b/>
      <sz val="10"/>
      <name val="Arial"/>
      <family val="2"/>
    </font>
    <font>
      <sz val="10"/>
      <name val="Arial"/>
      <family val="2"/>
    </font>
    <font>
      <b/>
      <sz val="12"/>
      <name val="Arial"/>
      <family val="2"/>
    </font>
    <font>
      <b/>
      <sz val="18"/>
      <name val="Arial"/>
      <family val="2"/>
    </font>
    <font>
      <sz val="10"/>
      <name val="Arial"/>
      <family val="2"/>
    </font>
    <font>
      <b/>
      <sz val="10"/>
      <name val="Arial"/>
      <family val="2"/>
    </font>
    <font>
      <b/>
      <sz val="10"/>
      <name val="Tahoma"/>
      <family val="2"/>
    </font>
    <font>
      <b/>
      <sz val="20"/>
      <name val="Tahoma"/>
      <family val="2"/>
    </font>
    <font>
      <sz val="10"/>
      <name val="Times New Roman"/>
      <family val="1"/>
    </font>
    <font>
      <b/>
      <sz val="10"/>
      <color indexed="9"/>
      <name val="Tahoma"/>
      <family val="2"/>
    </font>
    <font>
      <sz val="10"/>
      <color indexed="9"/>
      <name val="Tahoma"/>
      <family val="2"/>
    </font>
    <font>
      <sz val="7"/>
      <name val="Tahoma"/>
      <family val="2"/>
    </font>
    <font>
      <b/>
      <sz val="18"/>
      <name val="Century Gothic"/>
      <family val="2"/>
    </font>
    <font>
      <sz val="10"/>
      <name val="Century Gothic"/>
      <family val="2"/>
    </font>
    <font>
      <b/>
      <sz val="20"/>
      <name val="Century Gothic"/>
      <family val="2"/>
    </font>
    <font>
      <b/>
      <sz val="18"/>
      <color indexed="12"/>
      <name val="Century Gothic"/>
      <family val="2"/>
    </font>
    <font>
      <b/>
      <sz val="10"/>
      <name val="Century Gothic"/>
      <family val="2"/>
    </font>
    <font>
      <sz val="10"/>
      <color indexed="9"/>
      <name val="Times New Roman"/>
      <family val="1"/>
    </font>
    <font>
      <sz val="10"/>
      <color indexed="10"/>
      <name val="Tahoma"/>
      <family val="2"/>
    </font>
    <font>
      <b/>
      <sz val="18"/>
      <name val="Tahoma"/>
      <family val="2"/>
    </font>
    <font>
      <sz val="8"/>
      <name val="Tahoma"/>
      <family val="2"/>
    </font>
    <font>
      <b/>
      <sz val="16"/>
      <name val="Tahoma"/>
      <family val="2"/>
    </font>
    <font>
      <sz val="8"/>
      <name val="Arial"/>
      <family val="2"/>
    </font>
    <font>
      <sz val="8.1999999999999993"/>
      <name val="Arial"/>
      <family val="2"/>
    </font>
    <font>
      <u/>
      <sz val="10"/>
      <name val="Biondi"/>
    </font>
    <font>
      <sz val="10"/>
      <name val="Arial"/>
      <family val="2"/>
    </font>
    <font>
      <sz val="10"/>
      <name val="Microsoft Sans Serif"/>
      <family val="2"/>
    </font>
    <font>
      <b/>
      <i/>
      <sz val="11"/>
      <name val="Microsoft Sans Serif"/>
      <family val="2"/>
    </font>
    <font>
      <b/>
      <sz val="10"/>
      <name val="Microsoft Sans Serif"/>
      <family val="2"/>
    </font>
    <font>
      <i/>
      <sz val="10"/>
      <name val="Microsoft Sans Serif"/>
      <family val="2"/>
    </font>
    <font>
      <b/>
      <i/>
      <sz val="10"/>
      <name val="Microsoft Sans Serif"/>
      <family val="2"/>
    </font>
    <font>
      <b/>
      <u/>
      <sz val="10"/>
      <name val="Microsoft Sans Serif"/>
      <family val="2"/>
    </font>
    <font>
      <b/>
      <sz val="9"/>
      <name val="Microsoft Sans Serif"/>
      <family val="2"/>
    </font>
    <font>
      <b/>
      <sz val="8"/>
      <name val="Microsoft Sans Serif"/>
      <family val="2"/>
    </font>
    <font>
      <sz val="8"/>
      <color indexed="81"/>
      <name val="Tahoma"/>
      <family val="2"/>
    </font>
    <font>
      <b/>
      <sz val="8"/>
      <color indexed="81"/>
      <name val="Tahoma"/>
      <family val="2"/>
    </font>
    <font>
      <sz val="7"/>
      <name val="Arial"/>
      <family val="2"/>
    </font>
    <font>
      <sz val="9"/>
      <name val="Arial"/>
      <family val="2"/>
    </font>
    <font>
      <b/>
      <sz val="9"/>
      <name val="Arial"/>
      <family val="2"/>
    </font>
    <font>
      <b/>
      <i/>
      <sz val="10"/>
      <name val="Arial"/>
      <family val="2"/>
    </font>
    <font>
      <b/>
      <sz val="10"/>
      <name val="Times New Roman"/>
      <family val="1"/>
    </font>
    <font>
      <b/>
      <sz val="8"/>
      <name val="Tahoma"/>
      <family val="2"/>
    </font>
    <font>
      <b/>
      <sz val="12"/>
      <name val="Times New Roman"/>
      <family val="1"/>
    </font>
    <font>
      <b/>
      <sz val="8"/>
      <name val="Times New Roman"/>
      <family val="1"/>
    </font>
    <font>
      <b/>
      <sz val="14"/>
      <name val="Times New Roman"/>
      <family val="1"/>
    </font>
    <font>
      <sz val="8"/>
      <name val="Times New Roman"/>
      <family val="1"/>
    </font>
    <font>
      <b/>
      <sz val="11"/>
      <name val="Times New Roman"/>
      <family val="1"/>
    </font>
    <font>
      <sz val="11"/>
      <name val="Times New Roman"/>
      <family val="1"/>
    </font>
    <font>
      <b/>
      <sz val="7"/>
      <name val="Arial"/>
      <family val="2"/>
    </font>
    <font>
      <b/>
      <i/>
      <sz val="10"/>
      <color indexed="10"/>
      <name val="Arial"/>
      <family val="2"/>
    </font>
    <font>
      <sz val="7"/>
      <color indexed="10"/>
      <name val="Arial"/>
      <family val="2"/>
    </font>
    <font>
      <sz val="5"/>
      <name val="Arial"/>
      <family val="2"/>
    </font>
    <font>
      <sz val="10"/>
      <name val="Courier"/>
      <family val="3"/>
    </font>
    <font>
      <b/>
      <sz val="14"/>
      <name val="Microsoft Sans Serif"/>
      <family val="2"/>
    </font>
    <font>
      <b/>
      <i/>
      <sz val="9"/>
      <color indexed="9"/>
      <name val="Microsoft Sans Serif"/>
      <family val="2"/>
    </font>
    <font>
      <sz val="11"/>
      <color theme="1"/>
      <name val="Calibri"/>
      <family val="2"/>
      <scheme val="minor"/>
    </font>
    <font>
      <sz val="10"/>
      <color theme="0"/>
      <name val="Tahoma"/>
      <family val="2"/>
    </font>
    <font>
      <sz val="10"/>
      <color theme="0"/>
      <name val="Times New Roman"/>
      <family val="1"/>
    </font>
    <font>
      <sz val="10"/>
      <color theme="0"/>
      <name val="Century Gothic"/>
      <family val="2"/>
    </font>
    <font>
      <b/>
      <sz val="10"/>
      <color theme="0"/>
      <name val="Tahoma"/>
      <family val="2"/>
    </font>
    <font>
      <sz val="8"/>
      <color theme="0"/>
      <name val="Tahoma"/>
      <family val="2"/>
    </font>
    <font>
      <sz val="10"/>
      <color rgb="FFFF0000"/>
      <name val="Tahoma"/>
      <family val="2"/>
    </font>
    <font>
      <sz val="8"/>
      <color theme="0"/>
      <name val="Arial"/>
      <family val="2"/>
    </font>
    <font>
      <sz val="10"/>
      <name val="Calibri"/>
      <family val="2"/>
      <scheme val="minor"/>
    </font>
    <font>
      <sz val="8.1999999999999993"/>
      <name val="Calibri"/>
      <family val="2"/>
      <scheme val="minor"/>
    </font>
    <font>
      <b/>
      <sz val="10"/>
      <color theme="0"/>
      <name val="Calibri"/>
      <family val="2"/>
      <scheme val="minor"/>
    </font>
    <font>
      <b/>
      <sz val="10"/>
      <name val="Calibri"/>
      <family val="2"/>
      <scheme val="minor"/>
    </font>
    <font>
      <b/>
      <sz val="10"/>
      <color rgb="FFFF0000"/>
      <name val="Century Gothic"/>
      <family val="2"/>
    </font>
    <font>
      <b/>
      <sz val="7.5"/>
      <color rgb="FFA2A2A2"/>
      <name val="Arial"/>
      <family val="2"/>
    </font>
    <font>
      <sz val="11"/>
      <name val="Calibri"/>
      <family val="2"/>
      <scheme val="minor"/>
    </font>
    <font>
      <i/>
      <sz val="24"/>
      <color theme="0"/>
      <name val="Microsoft Sans Serif"/>
      <family val="2"/>
    </font>
    <font>
      <sz val="10"/>
      <color theme="0"/>
      <name val="Microsoft Sans Serif"/>
      <family val="2"/>
    </font>
    <font>
      <b/>
      <sz val="10"/>
      <color theme="0"/>
      <name val="Microsoft Sans Serif"/>
      <family val="2"/>
    </font>
    <font>
      <i/>
      <sz val="10"/>
      <color theme="0"/>
      <name val="Microsoft Sans Serif"/>
      <family val="2"/>
    </font>
    <font>
      <b/>
      <sz val="14"/>
      <name val="Calibri"/>
      <family val="2"/>
      <scheme val="minor"/>
    </font>
    <font>
      <b/>
      <u/>
      <sz val="12"/>
      <name val="Calibri"/>
      <family val="2"/>
      <scheme val="minor"/>
    </font>
    <font>
      <sz val="10"/>
      <color rgb="FFFF0000"/>
      <name val="Times New Roman"/>
      <family val="1"/>
    </font>
    <font>
      <b/>
      <sz val="9"/>
      <color theme="1"/>
      <name val="Microsoft Sans Serif"/>
      <family val="2"/>
    </font>
    <font>
      <i/>
      <sz val="9"/>
      <color theme="0"/>
      <name val="Microsoft Sans Serif"/>
      <family val="2"/>
    </font>
    <font>
      <b/>
      <i/>
      <sz val="9"/>
      <color theme="0"/>
      <name val="Microsoft Sans Serif"/>
      <family val="2"/>
    </font>
    <font>
      <b/>
      <sz val="18"/>
      <name val="Calibri"/>
      <family val="2"/>
      <scheme val="minor"/>
    </font>
    <font>
      <b/>
      <sz val="10"/>
      <color rgb="FFFF0000"/>
      <name val="Calibri"/>
      <family val="2"/>
      <scheme val="minor"/>
    </font>
    <font>
      <sz val="10"/>
      <color theme="0"/>
      <name val="Calibri"/>
      <family val="2"/>
      <scheme val="minor"/>
    </font>
    <font>
      <b/>
      <sz val="10"/>
      <color theme="0" tint="-0.499984740745262"/>
      <name val="Microsoft Sans Serif"/>
      <family val="2"/>
    </font>
    <font>
      <i/>
      <sz val="12"/>
      <color theme="0"/>
      <name val="Microsoft Sans Serif"/>
      <family val="2"/>
    </font>
    <font>
      <b/>
      <sz val="8"/>
      <name val="Calibri"/>
      <family val="2"/>
      <scheme val="minor"/>
    </font>
  </fonts>
  <fills count="54">
    <fill>
      <patternFill patternType="none"/>
    </fill>
    <fill>
      <patternFill patternType="gray125"/>
    </fill>
    <fill>
      <patternFill patternType="solid">
        <fgColor indexed="44"/>
        <bgColor indexed="64"/>
      </patternFill>
    </fill>
    <fill>
      <patternFill patternType="solid">
        <fgColor indexed="8"/>
        <bgColor indexed="32"/>
      </patternFill>
    </fill>
    <fill>
      <patternFill patternType="gray125">
        <fgColor indexed="22"/>
        <bgColor indexed="9"/>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6"/>
        <bgColor indexed="64"/>
      </patternFill>
    </fill>
    <fill>
      <patternFill patternType="solid">
        <fgColor indexed="8"/>
        <bgColor indexed="64"/>
      </patternFill>
    </fill>
    <fill>
      <patternFill patternType="solid">
        <fgColor indexed="43"/>
        <bgColor indexed="64"/>
      </patternFill>
    </fill>
    <fill>
      <patternFill patternType="solid">
        <fgColor indexed="14"/>
        <bgColor indexed="64"/>
      </patternFill>
    </fill>
    <fill>
      <patternFill patternType="solid">
        <fgColor indexed="61"/>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tint="-0.1499374370555742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D8603"/>
        <bgColor indexed="64"/>
      </patternFill>
    </fill>
    <fill>
      <patternFill patternType="solid">
        <fgColor theme="0" tint="-0.499984740745262"/>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8E886"/>
        <bgColor indexed="64"/>
      </patternFill>
    </fill>
    <fill>
      <patternFill patternType="solid">
        <fgColor theme="0" tint="-4.9989318521683403E-2"/>
        <bgColor indexed="64"/>
      </patternFill>
    </fill>
    <fill>
      <patternFill patternType="solid">
        <fgColor theme="3" tint="-0.24994659260841701"/>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302B95"/>
        <bgColor indexed="64"/>
      </patternFill>
    </fill>
    <fill>
      <patternFill patternType="solid">
        <fgColor rgb="FF7D467E"/>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rgb="FF9CCACC"/>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E38B"/>
        <bgColor indexed="64"/>
      </patternFill>
    </fill>
    <fill>
      <patternFill patternType="solid">
        <fgColor theme="4" tint="-0.249977111117893"/>
        <bgColor indexed="64"/>
      </patternFill>
    </fill>
    <fill>
      <patternFill patternType="solid">
        <fgColor theme="0" tint="-0.249977111117893"/>
        <bgColor indexed="64"/>
      </patternFill>
    </fill>
    <fill>
      <gradientFill>
        <stop position="0">
          <color theme="0"/>
        </stop>
        <stop position="0.5">
          <color theme="5" tint="0.40000610370189521"/>
        </stop>
        <stop position="1">
          <color theme="0"/>
        </stop>
      </gradientFill>
    </fill>
    <fill>
      <gradientFill>
        <stop position="0">
          <color theme="0"/>
        </stop>
        <stop position="0.5">
          <color theme="6" tint="0.40000610370189521"/>
        </stop>
        <stop position="1">
          <color theme="0"/>
        </stop>
      </gradientFill>
    </fill>
    <fill>
      <patternFill patternType="solid">
        <fgColor theme="8"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2" tint="-0.249977111117893"/>
        <bgColor indexed="64"/>
      </patternFill>
    </fill>
    <fill>
      <patternFill patternType="solid">
        <fgColor theme="2" tint="-9.9978637043366805E-2"/>
        <bgColor indexed="64"/>
      </patternFill>
    </fill>
  </fills>
  <borders count="112">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theme="0"/>
      </left>
      <right style="thin">
        <color theme="0"/>
      </right>
      <top style="thin">
        <color theme="0"/>
      </top>
      <bottom style="medium">
        <color theme="0"/>
      </bottom>
      <diagonal/>
    </border>
    <border>
      <left/>
      <right style="thin">
        <color theme="0"/>
      </right>
      <top style="thin">
        <color theme="0"/>
      </top>
      <bottom style="medium">
        <color theme="0"/>
      </bottom>
      <diagonal/>
    </border>
    <border>
      <left style="medium">
        <color theme="0"/>
      </left>
      <right style="medium">
        <color theme="0"/>
      </right>
      <top style="medium">
        <color theme="0"/>
      </top>
      <bottom style="medium">
        <color theme="0"/>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style="medium">
        <color theme="0" tint="-0.499984740745262"/>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thin">
        <color theme="0"/>
      </left>
      <right style="medium">
        <color theme="0"/>
      </right>
      <top style="thin">
        <color theme="0"/>
      </top>
      <bottom style="medium">
        <color theme="0"/>
      </bottom>
      <diagonal/>
    </border>
    <border>
      <left style="thin">
        <color theme="0"/>
      </left>
      <right style="medium">
        <color theme="0"/>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style="thick">
        <color theme="0" tint="-0.14996795556505021"/>
      </top>
      <bottom/>
      <diagonal/>
    </border>
    <border>
      <left/>
      <right/>
      <top/>
      <bottom style="thick">
        <color theme="0" tint="-0.14996795556505021"/>
      </bottom>
      <diagonal/>
    </border>
    <border>
      <left style="thin">
        <color theme="0"/>
      </left>
      <right/>
      <top/>
      <bottom style="medium">
        <color theme="0"/>
      </bottom>
      <diagonal/>
    </border>
    <border>
      <left/>
      <right/>
      <top/>
      <bottom style="medium">
        <color theme="0"/>
      </bottom>
      <diagonal/>
    </border>
    <border>
      <left style="thin">
        <color theme="0"/>
      </left>
      <right/>
      <top/>
      <bottom/>
      <diagonal/>
    </border>
    <border>
      <left/>
      <right/>
      <top style="thin">
        <color theme="0"/>
      </top>
      <bottom/>
      <diagonal/>
    </border>
    <border>
      <left/>
      <right/>
      <top/>
      <bottom style="thin">
        <color theme="0"/>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bottom/>
      <diagonal/>
    </border>
    <border>
      <left/>
      <right style="medium">
        <color theme="0" tint="-0.24994659260841701"/>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thick">
        <color theme="0" tint="-0.14996795556505021"/>
      </right>
      <top style="thick">
        <color theme="0" tint="-0.14996795556505021"/>
      </top>
      <bottom/>
      <diagonal/>
    </border>
    <border>
      <left/>
      <right style="thick">
        <color theme="0" tint="-0.14996795556505021"/>
      </right>
      <top/>
      <bottom style="thick">
        <color theme="0" tint="-0.14996795556505021"/>
      </bottom>
      <diagonal/>
    </border>
    <border>
      <left style="thick">
        <color theme="0" tint="-0.14996795556505021"/>
      </left>
      <right/>
      <top style="thick">
        <color theme="0" tint="-0.14996795556505021"/>
      </top>
      <bottom/>
      <diagonal/>
    </border>
    <border>
      <left style="thick">
        <color theme="0" tint="-0.14996795556505021"/>
      </left>
      <right/>
      <top/>
      <bottom style="thick">
        <color theme="0" tint="-0.14996795556505021"/>
      </bottom>
      <diagonal/>
    </border>
  </borders>
  <cellStyleXfs count="22">
    <xf numFmtId="0" fontId="0" fillId="0" borderId="0"/>
    <xf numFmtId="0" fontId="1" fillId="0" borderId="0" applyNumberFormat="0" applyFill="0" applyBorder="0" applyAlignment="0" applyProtection="0"/>
    <xf numFmtId="0" fontId="6" fillId="0" borderId="0"/>
    <xf numFmtId="43" fontId="1" fillId="0" borderId="0" applyFont="0" applyFill="0" applyBorder="0" applyAlignment="0" applyProtection="0"/>
    <xf numFmtId="43" fontId="13" fillId="0" borderId="0" applyFont="0" applyFill="0" applyBorder="0" applyAlignment="0" applyProtection="0"/>
    <xf numFmtId="180" fontId="6" fillId="0" borderId="0" applyFont="0" applyFill="0" applyBorder="0" applyAlignment="0" applyProtection="0"/>
    <xf numFmtId="43" fontId="6" fillId="0" borderId="0" applyFont="0" applyFill="0" applyBorder="0" applyAlignment="0" applyProtection="0"/>
    <xf numFmtId="43" fontId="60" fillId="0" borderId="0" applyFont="0" applyFill="0" applyBorder="0" applyAlignment="0" applyProtection="0"/>
    <xf numFmtId="44" fontId="6" fillId="0" borderId="0" applyFont="0" applyFill="0" applyBorder="0" applyAlignment="0" applyProtection="0"/>
    <xf numFmtId="0" fontId="57" fillId="0" borderId="0"/>
    <xf numFmtId="0" fontId="13" fillId="0" borderId="0"/>
    <xf numFmtId="0" fontId="6" fillId="0" borderId="0"/>
    <xf numFmtId="0" fontId="1" fillId="0" borderId="0"/>
    <xf numFmtId="0" fontId="1" fillId="0" borderId="0" applyNumberFormat="0" applyFill="0" applyBorder="0" applyAlignment="0" applyProtection="0"/>
    <xf numFmtId="0" fontId="30" fillId="0" borderId="0"/>
    <xf numFmtId="0" fontId="60" fillId="0" borderId="0"/>
    <xf numFmtId="0" fontId="9" fillId="0" borderId="0" applyNumberFormat="0" applyFill="0" applyBorder="0" applyAlignment="0" applyProtection="0"/>
    <xf numFmtId="0" fontId="6" fillId="0" borderId="0" applyNumberFormat="0" applyFill="0" applyBorder="0" applyAlignment="0" applyProtection="0"/>
    <xf numFmtId="0" fontId="6" fillId="0" borderId="0"/>
    <xf numFmtId="9" fontId="13" fillId="0" borderId="0" applyFont="0" applyFill="0" applyBorder="0" applyAlignment="0" applyProtection="0"/>
    <xf numFmtId="9" fontId="1" fillId="0" borderId="0" applyFont="0" applyFill="0" applyBorder="0" applyAlignment="0" applyProtection="0"/>
    <xf numFmtId="181" fontId="6" fillId="0" borderId="0" applyFont="0" applyFill="0" applyBorder="0" applyAlignment="0" applyProtection="0"/>
  </cellStyleXfs>
  <cellXfs count="1099">
    <xf numFmtId="0" fontId="0" fillId="0" borderId="0" xfId="0"/>
    <xf numFmtId="0" fontId="3" fillId="0" borderId="0" xfId="0" applyFont="1" applyAlignment="1">
      <alignment horizontal="left" indent="11"/>
    </xf>
    <xf numFmtId="0" fontId="3" fillId="0" borderId="0" xfId="0" applyFont="1" applyAlignment="1">
      <alignment horizontal="left" indent="5"/>
    </xf>
    <xf numFmtId="0" fontId="4" fillId="0" borderId="0" xfId="0" applyFont="1"/>
    <xf numFmtId="0" fontId="5" fillId="0" borderId="1" xfId="0" applyFont="1" applyBorder="1" applyAlignment="1">
      <alignment horizontal="left" indent="11"/>
    </xf>
    <xf numFmtId="0" fontId="5" fillId="0" borderId="1" xfId="0" applyFont="1" applyBorder="1" applyAlignment="1">
      <alignment horizontal="left" indent="5"/>
    </xf>
    <xf numFmtId="0" fontId="0" fillId="0" borderId="1" xfId="0" applyBorder="1"/>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center"/>
    </xf>
    <xf numFmtId="0" fontId="6" fillId="0" borderId="0" xfId="0" applyFont="1" applyFill="1" applyBorder="1"/>
    <xf numFmtId="0" fontId="0" fillId="3" borderId="0" xfId="0" applyFill="1"/>
    <xf numFmtId="14" fontId="5" fillId="0" borderId="0" xfId="0" applyNumberFormat="1" applyFont="1"/>
    <xf numFmtId="0" fontId="3" fillId="0" borderId="0" xfId="16" applyFont="1"/>
    <xf numFmtId="0" fontId="10" fillId="0" borderId="4" xfId="16" applyFont="1" applyBorder="1"/>
    <xf numFmtId="0" fontId="10" fillId="0" borderId="5" xfId="16" applyFont="1" applyBorder="1" applyAlignment="1">
      <alignment horizontal="centerContinuous"/>
    </xf>
    <xf numFmtId="0" fontId="10" fillId="0" borderId="6" xfId="16" applyFont="1" applyBorder="1" applyAlignment="1">
      <alignment horizontal="centerContinuous"/>
    </xf>
    <xf numFmtId="0" fontId="5" fillId="0" borderId="7" xfId="0" applyFont="1" applyBorder="1" applyAlignment="1">
      <alignment horizontal="center"/>
    </xf>
    <xf numFmtId="0" fontId="10" fillId="0" borderId="8" xfId="16" applyFont="1" applyBorder="1"/>
    <xf numFmtId="0" fontId="10" fillId="0" borderId="9" xfId="16" applyFont="1" applyBorder="1"/>
    <xf numFmtId="0" fontId="10" fillId="0" borderId="10" xfId="16" applyFont="1" applyBorder="1"/>
    <xf numFmtId="0" fontId="0" fillId="0" borderId="11" xfId="0" applyBorder="1" applyAlignment="1">
      <alignment horizontal="center"/>
    </xf>
    <xf numFmtId="0" fontId="10" fillId="4" borderId="12" xfId="16" applyFont="1" applyFill="1" applyBorder="1" applyAlignment="1">
      <alignment horizontal="center"/>
    </xf>
    <xf numFmtId="0" fontId="6" fillId="0" borderId="12" xfId="0" applyFont="1" applyFill="1" applyBorder="1" applyAlignment="1">
      <alignment horizontal="center"/>
    </xf>
    <xf numFmtId="0" fontId="11" fillId="0" borderId="0" xfId="0" applyFont="1"/>
    <xf numFmtId="10" fontId="0" fillId="0" borderId="0" xfId="20" applyNumberFormat="1" applyFont="1"/>
    <xf numFmtId="0" fontId="11" fillId="0" borderId="12" xfId="0" applyFont="1" applyBorder="1"/>
    <xf numFmtId="43" fontId="11" fillId="0" borderId="12" xfId="3" applyFont="1" applyBorder="1"/>
    <xf numFmtId="0" fontId="2" fillId="0" borderId="0" xfId="0" applyFont="1"/>
    <xf numFmtId="43" fontId="2" fillId="0" borderId="0" xfId="0" applyNumberFormat="1" applyFont="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11" fillId="0" borderId="3" xfId="0" applyFont="1" applyBorder="1"/>
    <xf numFmtId="0" fontId="11" fillId="5" borderId="12" xfId="0" applyFont="1" applyFill="1" applyBorder="1" applyAlignment="1">
      <alignment horizontal="center"/>
    </xf>
    <xf numFmtId="15" fontId="2" fillId="0" borderId="0" xfId="0" applyNumberFormat="1" applyFont="1"/>
    <xf numFmtId="10" fontId="0" fillId="6" borderId="12" xfId="0" applyNumberFormat="1" applyFill="1" applyBorder="1" applyAlignment="1" applyProtection="1">
      <alignment horizontal="center"/>
    </xf>
    <xf numFmtId="0" fontId="2" fillId="0" borderId="0" xfId="0" applyFont="1" applyFill="1" applyBorder="1"/>
    <xf numFmtId="165" fontId="0" fillId="0" borderId="0" xfId="0" applyNumberFormat="1"/>
    <xf numFmtId="0" fontId="5" fillId="7" borderId="12" xfId="0" applyFont="1" applyFill="1" applyBorder="1" applyAlignment="1">
      <alignment horizontal="center"/>
    </xf>
    <xf numFmtId="10" fontId="0" fillId="0" borderId="0" xfId="0" applyNumberFormat="1"/>
    <xf numFmtId="10" fontId="0" fillId="0" borderId="12" xfId="0" applyNumberFormat="1" applyFill="1" applyBorder="1" applyAlignment="1" applyProtection="1">
      <alignment horizontal="center"/>
    </xf>
    <xf numFmtId="0" fontId="11" fillId="0" borderId="0" xfId="0" applyFont="1" applyFill="1" applyBorder="1" applyAlignment="1">
      <alignment horizontal="center"/>
    </xf>
    <xf numFmtId="0" fontId="2" fillId="0" borderId="0" xfId="0" applyFont="1" applyFill="1" applyBorder="1" applyAlignment="1">
      <alignment horizontal="center"/>
    </xf>
    <xf numFmtId="43" fontId="2" fillId="0" borderId="0" xfId="3" applyFont="1" applyFill="1" applyBorder="1"/>
    <xf numFmtId="10" fontId="2" fillId="0" borderId="0" xfId="20" applyNumberFormat="1" applyFont="1" applyFill="1" applyBorder="1"/>
    <xf numFmtId="0" fontId="14" fillId="8" borderId="18" xfId="0" applyFont="1" applyFill="1" applyBorder="1"/>
    <xf numFmtId="0" fontId="15" fillId="0" borderId="0" xfId="0" applyFont="1" applyFill="1" applyBorder="1"/>
    <xf numFmtId="0" fontId="15" fillId="0" borderId="0" xfId="0" applyFont="1" applyFill="1" applyBorder="1" applyAlignment="1">
      <alignment horizontal="center"/>
    </xf>
    <xf numFmtId="10" fontId="15" fillId="0" borderId="0" xfId="20" applyNumberFormat="1" applyFont="1" applyFill="1" applyBorder="1"/>
    <xf numFmtId="43" fontId="15" fillId="9" borderId="0" xfId="3" applyFont="1" applyFill="1" applyBorder="1"/>
    <xf numFmtId="0" fontId="14" fillId="8" borderId="19" xfId="0" applyFont="1" applyFill="1" applyBorder="1"/>
    <xf numFmtId="0" fontId="14" fillId="8" borderId="20" xfId="0" applyFont="1" applyFill="1" applyBorder="1"/>
    <xf numFmtId="0" fontId="15" fillId="0" borderId="0" xfId="0" applyFont="1"/>
    <xf numFmtId="43" fontId="11" fillId="0" borderId="12" xfId="3" applyFont="1" applyFill="1" applyBorder="1"/>
    <xf numFmtId="0" fontId="16" fillId="0" borderId="0" xfId="0" applyFont="1"/>
    <xf numFmtId="4" fontId="2" fillId="0" borderId="0" xfId="0" applyNumberFormat="1" applyFont="1"/>
    <xf numFmtId="0" fontId="18" fillId="0" borderId="12" xfId="0" applyFont="1" applyFill="1" applyBorder="1" applyAlignment="1" applyProtection="1">
      <alignment vertical="center"/>
      <protection hidden="1"/>
    </xf>
    <xf numFmtId="0" fontId="18" fillId="0" borderId="0" xfId="0" applyFont="1" applyFill="1"/>
    <xf numFmtId="0" fontId="18" fillId="0" borderId="0" xfId="0" applyFont="1" applyFill="1" applyBorder="1"/>
    <xf numFmtId="166" fontId="18" fillId="0" borderId="0" xfId="0" applyNumberFormat="1" applyFont="1" applyFill="1" applyAlignment="1">
      <alignment horizontal="center"/>
    </xf>
    <xf numFmtId="43" fontId="18" fillId="0" borderId="0" xfId="0" applyNumberFormat="1" applyFont="1" applyFill="1" applyAlignment="1">
      <alignment horizontal="center"/>
    </xf>
    <xf numFmtId="0" fontId="17" fillId="0" borderId="0" xfId="0" applyFont="1" applyFill="1"/>
    <xf numFmtId="0" fontId="18" fillId="0" borderId="0" xfId="0" applyFont="1" applyFill="1" applyAlignment="1">
      <alignment horizontal="center"/>
    </xf>
    <xf numFmtId="0" fontId="19" fillId="0" borderId="0" xfId="0" applyFont="1" applyFill="1" applyAlignment="1"/>
    <xf numFmtId="0" fontId="20" fillId="0" borderId="0" xfId="0" applyFont="1" applyFill="1"/>
    <xf numFmtId="0" fontId="21" fillId="0" borderId="0" xfId="0" applyFont="1" applyFill="1" applyAlignment="1">
      <alignment horizontal="center"/>
    </xf>
    <xf numFmtId="0" fontId="18" fillId="0" borderId="12" xfId="0" applyFont="1" applyFill="1" applyBorder="1" applyAlignment="1">
      <alignment horizontal="center"/>
    </xf>
    <xf numFmtId="3" fontId="2" fillId="0" borderId="21" xfId="0" applyNumberFormat="1" applyFont="1" applyBorder="1"/>
    <xf numFmtId="0" fontId="13" fillId="0" borderId="0" xfId="0" applyFont="1"/>
    <xf numFmtId="43" fontId="2" fillId="0" borderId="0" xfId="3" applyFont="1"/>
    <xf numFmtId="166" fontId="2" fillId="0" borderId="0" xfId="3" applyNumberFormat="1" applyFont="1"/>
    <xf numFmtId="43" fontId="2" fillId="0" borderId="0" xfId="3" applyNumberFormat="1" applyFont="1"/>
    <xf numFmtId="0" fontId="2" fillId="0" borderId="0" xfId="10" applyFont="1"/>
    <xf numFmtId="0" fontId="61" fillId="0" borderId="0" xfId="10" applyFont="1"/>
    <xf numFmtId="0" fontId="13" fillId="0" borderId="0" xfId="10"/>
    <xf numFmtId="0" fontId="62" fillId="0" borderId="0" xfId="10" applyFont="1"/>
    <xf numFmtId="43" fontId="2" fillId="0" borderId="0" xfId="10" applyNumberFormat="1" applyFont="1"/>
    <xf numFmtId="0" fontId="62" fillId="0" borderId="0" xfId="10" applyFont="1" applyBorder="1"/>
    <xf numFmtId="0" fontId="2" fillId="13" borderId="0" xfId="10" applyFont="1" applyFill="1" applyBorder="1"/>
    <xf numFmtId="0" fontId="61" fillId="13" borderId="0" xfId="10" applyFont="1" applyFill="1" applyBorder="1"/>
    <xf numFmtId="0" fontId="62" fillId="13" borderId="0" xfId="10" applyFont="1" applyFill="1" applyBorder="1"/>
    <xf numFmtId="0" fontId="2" fillId="13" borderId="0" xfId="10" applyFont="1" applyFill="1"/>
    <xf numFmtId="10" fontId="2" fillId="13" borderId="0" xfId="19" applyNumberFormat="1" applyFont="1" applyFill="1"/>
    <xf numFmtId="0" fontId="13" fillId="13" borderId="0" xfId="10" applyFill="1"/>
    <xf numFmtId="0" fontId="61" fillId="13" borderId="0" xfId="10" applyFont="1" applyFill="1"/>
    <xf numFmtId="43" fontId="11" fillId="13" borderId="20" xfId="10" quotePrefix="1" applyNumberFormat="1" applyFont="1" applyFill="1" applyBorder="1"/>
    <xf numFmtId="0" fontId="2" fillId="13" borderId="18" xfId="10" applyFont="1" applyFill="1" applyBorder="1"/>
    <xf numFmtId="0" fontId="62" fillId="13" borderId="0" xfId="10" applyFont="1" applyFill="1"/>
    <xf numFmtId="43" fontId="11" fillId="13" borderId="12" xfId="4" applyFont="1" applyFill="1" applyBorder="1"/>
    <xf numFmtId="0" fontId="11" fillId="13" borderId="12" xfId="10" applyFont="1" applyFill="1" applyBorder="1"/>
    <xf numFmtId="0" fontId="11" fillId="13" borderId="3" xfId="10" applyFont="1" applyFill="1" applyBorder="1"/>
    <xf numFmtId="0" fontId="11" fillId="13" borderId="12" xfId="10" applyFont="1" applyFill="1" applyBorder="1" applyAlignment="1">
      <alignment horizontal="center"/>
    </xf>
    <xf numFmtId="0" fontId="11" fillId="13" borderId="0" xfId="10" applyFont="1" applyFill="1"/>
    <xf numFmtId="43" fontId="2" fillId="13" borderId="0" xfId="4" applyFont="1" applyFill="1"/>
    <xf numFmtId="43" fontId="2" fillId="13" borderId="0" xfId="4" quotePrefix="1" applyFont="1" applyFill="1"/>
    <xf numFmtId="164" fontId="2" fillId="13" borderId="0" xfId="19" quotePrefix="1" applyNumberFormat="1" applyFont="1" applyFill="1"/>
    <xf numFmtId="43" fontId="2" fillId="13" borderId="0" xfId="10" applyNumberFormat="1" applyFont="1" applyFill="1"/>
    <xf numFmtId="166" fontId="2" fillId="13" borderId="0" xfId="10" quotePrefix="1" applyNumberFormat="1" applyFont="1" applyFill="1"/>
    <xf numFmtId="0" fontId="14" fillId="13" borderId="18" xfId="10" applyFont="1" applyFill="1" applyBorder="1"/>
    <xf numFmtId="43" fontId="2" fillId="13" borderId="0" xfId="4" applyFont="1" applyFill="1" applyBorder="1"/>
    <xf numFmtId="43" fontId="2" fillId="13" borderId="0" xfId="4" quotePrefix="1" applyFont="1" applyFill="1" applyBorder="1"/>
    <xf numFmtId="164" fontId="2" fillId="13" borderId="0" xfId="19" quotePrefix="1" applyNumberFormat="1" applyFont="1" applyFill="1" applyBorder="1"/>
    <xf numFmtId="43" fontId="2" fillId="13" borderId="0" xfId="10" applyNumberFormat="1" applyFont="1" applyFill="1" applyBorder="1"/>
    <xf numFmtId="0" fontId="63" fillId="13" borderId="0" xfId="10" applyFont="1" applyFill="1" applyBorder="1" applyAlignment="1" applyProtection="1">
      <alignment vertical="center"/>
      <protection hidden="1"/>
    </xf>
    <xf numFmtId="0" fontId="2" fillId="13" borderId="0" xfId="10" applyFont="1" applyFill="1" applyBorder="1" applyAlignment="1">
      <alignment horizontal="center" vertical="center" wrapText="1"/>
    </xf>
    <xf numFmtId="43" fontId="14" fillId="0" borderId="0" xfId="10" quotePrefix="1" applyNumberFormat="1" applyFont="1" applyFill="1" applyBorder="1"/>
    <xf numFmtId="0" fontId="15" fillId="0" borderId="0" xfId="10" applyFont="1" applyFill="1" applyBorder="1"/>
    <xf numFmtId="43" fontId="11" fillId="7" borderId="12" xfId="4" applyFont="1" applyFill="1" applyBorder="1"/>
    <xf numFmtId="43" fontId="11" fillId="0" borderId="12" xfId="4" applyFont="1" applyFill="1" applyBorder="1"/>
    <xf numFmtId="0" fontId="11" fillId="0" borderId="12" xfId="10" applyFont="1" applyBorder="1"/>
    <xf numFmtId="0" fontId="11" fillId="7" borderId="12" xfId="10" applyFont="1" applyFill="1" applyBorder="1"/>
    <xf numFmtId="0" fontId="11" fillId="0" borderId="12" xfId="10" applyFont="1" applyFill="1" applyBorder="1"/>
    <xf numFmtId="0" fontId="18" fillId="0" borderId="0" xfId="10" applyFont="1"/>
    <xf numFmtId="0" fontId="11" fillId="7" borderId="3" xfId="10" applyFont="1" applyFill="1" applyBorder="1"/>
    <xf numFmtId="0" fontId="11" fillId="0" borderId="3" xfId="10" applyFont="1" applyFill="1" applyBorder="1"/>
    <xf numFmtId="0" fontId="11" fillId="7" borderId="12" xfId="10" applyFont="1" applyFill="1" applyBorder="1" applyAlignment="1">
      <alignment horizontal="center"/>
    </xf>
    <xf numFmtId="0" fontId="11" fillId="0" borderId="12" xfId="10" applyFont="1" applyFill="1" applyBorder="1" applyAlignment="1">
      <alignment horizontal="center"/>
    </xf>
    <xf numFmtId="0" fontId="11" fillId="0" borderId="0" xfId="10" applyFont="1"/>
    <xf numFmtId="4" fontId="2" fillId="0" borderId="0" xfId="10" applyNumberFormat="1" applyFont="1"/>
    <xf numFmtId="0" fontId="14" fillId="8" borderId="18" xfId="10" applyFont="1" applyFill="1" applyBorder="1"/>
    <xf numFmtId="10" fontId="15" fillId="0" borderId="0" xfId="19" applyNumberFormat="1" applyFont="1" applyFill="1" applyBorder="1"/>
    <xf numFmtId="0" fontId="63" fillId="0" borderId="0" xfId="10" applyFont="1" applyFill="1" applyBorder="1" applyAlignment="1">
      <alignment shrinkToFit="1"/>
    </xf>
    <xf numFmtId="3" fontId="13" fillId="0" borderId="21" xfId="10" applyNumberFormat="1" applyFill="1" applyBorder="1"/>
    <xf numFmtId="0" fontId="2" fillId="0" borderId="14" xfId="10" applyFont="1" applyBorder="1"/>
    <xf numFmtId="0" fontId="2" fillId="0" borderId="17" xfId="10" applyFont="1" applyBorder="1"/>
    <xf numFmtId="0" fontId="2" fillId="0" borderId="13" xfId="10" applyFont="1" applyBorder="1"/>
    <xf numFmtId="43" fontId="15" fillId="0" borderId="0" xfId="4" applyFont="1" applyFill="1" applyBorder="1"/>
    <xf numFmtId="0" fontId="2" fillId="0" borderId="0" xfId="10" applyFont="1" applyFill="1" applyBorder="1"/>
    <xf numFmtId="43" fontId="2" fillId="0" borderId="20" xfId="4" applyFont="1" applyFill="1" applyBorder="1"/>
    <xf numFmtId="0" fontId="14" fillId="8" borderId="20" xfId="10" applyFont="1" applyFill="1" applyBorder="1"/>
    <xf numFmtId="0" fontId="14" fillId="8" borderId="19" xfId="10" applyFont="1" applyFill="1" applyBorder="1"/>
    <xf numFmtId="0" fontId="15" fillId="0" borderId="0" xfId="10" applyFont="1" applyFill="1" applyBorder="1" applyAlignment="1">
      <alignment horizontal="center"/>
    </xf>
    <xf numFmtId="0" fontId="2" fillId="0" borderId="16" xfId="10" applyFont="1" applyBorder="1"/>
    <xf numFmtId="0" fontId="2" fillId="0" borderId="15" xfId="10" applyFont="1" applyBorder="1"/>
    <xf numFmtId="2" fontId="14" fillId="0" borderId="0" xfId="10" applyNumberFormat="1" applyFont="1" applyFill="1" applyBorder="1" applyAlignment="1">
      <alignment horizontal="center"/>
    </xf>
    <xf numFmtId="0" fontId="14" fillId="0" borderId="0" xfId="10" applyFont="1" applyFill="1" applyBorder="1" applyAlignment="1">
      <alignment horizontal="center"/>
    </xf>
    <xf numFmtId="15" fontId="2" fillId="0" borderId="0" xfId="10" applyNumberFormat="1" applyFont="1"/>
    <xf numFmtId="0" fontId="18" fillId="0" borderId="0" xfId="10" applyFont="1" applyBorder="1"/>
    <xf numFmtId="0" fontId="18" fillId="0" borderId="0" xfId="10" applyFont="1" applyBorder="1" applyAlignment="1">
      <alignment horizontal="center"/>
    </xf>
    <xf numFmtId="0" fontId="18" fillId="0" borderId="0" xfId="10" applyFont="1" applyFill="1" applyBorder="1" applyAlignment="1" applyProtection="1">
      <alignment vertical="center"/>
      <protection hidden="1"/>
    </xf>
    <xf numFmtId="0" fontId="18" fillId="0" borderId="0" xfId="10" applyFont="1" applyBorder="1" applyAlignment="1" applyProtection="1">
      <alignment vertical="center"/>
      <protection hidden="1"/>
    </xf>
    <xf numFmtId="0" fontId="18" fillId="0" borderId="0" xfId="10" applyFont="1" applyFill="1" applyBorder="1" applyAlignment="1">
      <alignment shrinkToFit="1"/>
    </xf>
    <xf numFmtId="0" fontId="21" fillId="0" borderId="0" xfId="10" applyFont="1" applyBorder="1" applyAlignment="1">
      <alignment horizontal="center"/>
    </xf>
    <xf numFmtId="0" fontId="21" fillId="0" borderId="0" xfId="10" applyFont="1" applyBorder="1" applyAlignment="1"/>
    <xf numFmtId="10" fontId="0" fillId="0" borderId="0" xfId="19" applyNumberFormat="1" applyFont="1"/>
    <xf numFmtId="165" fontId="13" fillId="0" borderId="12" xfId="10" applyNumberFormat="1" applyBorder="1"/>
    <xf numFmtId="0" fontId="5" fillId="0" borderId="12" xfId="10" applyFont="1" applyFill="1" applyBorder="1" applyAlignment="1">
      <alignment horizontal="center"/>
    </xf>
    <xf numFmtId="0" fontId="6" fillId="0" borderId="12" xfId="10" applyFont="1" applyFill="1" applyBorder="1" applyAlignment="1">
      <alignment horizontal="center"/>
    </xf>
    <xf numFmtId="0" fontId="6" fillId="0" borderId="0" xfId="10" applyFont="1" applyFill="1" applyBorder="1"/>
    <xf numFmtId="0" fontId="5" fillId="0" borderId="0" xfId="10" applyFont="1" applyAlignment="1">
      <alignment horizontal="center"/>
    </xf>
    <xf numFmtId="0" fontId="5" fillId="2" borderId="3" xfId="10" applyFont="1" applyFill="1" applyBorder="1" applyAlignment="1">
      <alignment horizontal="center"/>
    </xf>
    <xf numFmtId="0" fontId="5" fillId="2" borderId="2" xfId="10" applyFont="1" applyFill="1" applyBorder="1" applyAlignment="1">
      <alignment horizontal="center"/>
    </xf>
    <xf numFmtId="0" fontId="4" fillId="0" borderId="0" xfId="10" applyFont="1"/>
    <xf numFmtId="0" fontId="13" fillId="0" borderId="1" xfId="10" applyBorder="1"/>
    <xf numFmtId="0" fontId="5" fillId="0" borderId="1" xfId="10" applyFont="1" applyBorder="1" applyAlignment="1">
      <alignment horizontal="left" indent="5"/>
    </xf>
    <xf numFmtId="0" fontId="5" fillId="0" borderId="1" xfId="10" applyFont="1" applyBorder="1" applyAlignment="1">
      <alignment horizontal="left" indent="11"/>
    </xf>
    <xf numFmtId="0" fontId="3" fillId="0" borderId="0" xfId="10" applyFont="1" applyAlignment="1">
      <alignment horizontal="left" indent="5"/>
    </xf>
    <xf numFmtId="0" fontId="3" fillId="0" borderId="0" xfId="10" applyFont="1" applyAlignment="1">
      <alignment horizontal="left" indent="11"/>
    </xf>
    <xf numFmtId="10" fontId="13" fillId="6" borderId="12" xfId="10" applyNumberFormat="1" applyFill="1" applyBorder="1" applyAlignment="1" applyProtection="1">
      <alignment horizontal="center"/>
    </xf>
    <xf numFmtId="0" fontId="5" fillId="4" borderId="12" xfId="17" applyFont="1" applyFill="1" applyBorder="1" applyAlignment="1">
      <alignment horizontal="center"/>
    </xf>
    <xf numFmtId="0" fontId="5" fillId="0" borderId="10" xfId="17" applyFont="1" applyBorder="1"/>
    <xf numFmtId="0" fontId="5" fillId="0" borderId="9" xfId="17" applyFont="1" applyBorder="1"/>
    <xf numFmtId="0" fontId="5" fillId="0" borderId="8" xfId="17" applyFont="1" applyBorder="1"/>
    <xf numFmtId="0" fontId="13" fillId="0" borderId="11" xfId="10" applyBorder="1" applyAlignment="1">
      <alignment horizontal="center"/>
    </xf>
    <xf numFmtId="0" fontId="5" fillId="0" borderId="6" xfId="17" applyFont="1" applyBorder="1" applyAlignment="1">
      <alignment horizontal="centerContinuous"/>
    </xf>
    <xf numFmtId="0" fontId="5" fillId="0" borderId="5" xfId="17" applyFont="1" applyBorder="1" applyAlignment="1">
      <alignment horizontal="centerContinuous"/>
    </xf>
    <xf numFmtId="0" fontId="5" fillId="0" borderId="4" xfId="17" applyFont="1" applyBorder="1"/>
    <xf numFmtId="0" fontId="5" fillId="0" borderId="7" xfId="10" applyFont="1" applyBorder="1" applyAlignment="1">
      <alignment horizontal="center"/>
    </xf>
    <xf numFmtId="0" fontId="3" fillId="0" borderId="0" xfId="17" applyFont="1"/>
    <xf numFmtId="14" fontId="5" fillId="0" borderId="0" xfId="10" applyNumberFormat="1" applyFont="1"/>
    <xf numFmtId="0" fontId="13" fillId="3" borderId="0" xfId="10" applyFill="1"/>
    <xf numFmtId="0" fontId="2" fillId="0" borderId="0" xfId="12" applyFont="1"/>
    <xf numFmtId="0" fontId="1" fillId="0" borderId="0" xfId="12"/>
    <xf numFmtId="0" fontId="22" fillId="0" borderId="0" xfId="12" applyFont="1"/>
    <xf numFmtId="0" fontId="15" fillId="0" borderId="0" xfId="12" applyFont="1"/>
    <xf numFmtId="0" fontId="1" fillId="0" borderId="0" xfId="12" applyFont="1" applyBorder="1"/>
    <xf numFmtId="0" fontId="2" fillId="0" borderId="0" xfId="12" applyFont="1" applyBorder="1"/>
    <xf numFmtId="10" fontId="2" fillId="0" borderId="0" xfId="20" applyNumberFormat="1" applyFont="1" applyFill="1"/>
    <xf numFmtId="43" fontId="11" fillId="5" borderId="20" xfId="12" quotePrefix="1" applyNumberFormat="1" applyFont="1" applyFill="1" applyBorder="1"/>
    <xf numFmtId="0" fontId="2" fillId="5" borderId="18" xfId="12" applyFont="1" applyFill="1" applyBorder="1"/>
    <xf numFmtId="0" fontId="11" fillId="0" borderId="12" xfId="12" applyFont="1" applyBorder="1"/>
    <xf numFmtId="0" fontId="11" fillId="0" borderId="3" xfId="12" applyFont="1" applyBorder="1"/>
    <xf numFmtId="0" fontId="11" fillId="5" borderId="12" xfId="12" applyFont="1" applyFill="1" applyBorder="1" applyAlignment="1">
      <alignment horizontal="center"/>
    </xf>
    <xf numFmtId="0" fontId="11" fillId="0" borderId="0" xfId="12" applyFont="1"/>
    <xf numFmtId="43" fontId="2" fillId="0" borderId="0" xfId="3" quotePrefix="1" applyFont="1" applyFill="1"/>
    <xf numFmtId="164" fontId="2" fillId="0" borderId="0" xfId="20" quotePrefix="1" applyNumberFormat="1" applyFont="1" applyFill="1"/>
    <xf numFmtId="43" fontId="2" fillId="0" borderId="0" xfId="3" applyFont="1" applyFill="1"/>
    <xf numFmtId="43" fontId="2" fillId="0" borderId="0" xfId="12" applyNumberFormat="1" applyFont="1"/>
    <xf numFmtId="166" fontId="2" fillId="0" borderId="0" xfId="12" quotePrefix="1" applyNumberFormat="1" applyFont="1"/>
    <xf numFmtId="0" fontId="14" fillId="8" borderId="18" xfId="12" applyFont="1" applyFill="1" applyBorder="1"/>
    <xf numFmtId="0" fontId="1" fillId="0" borderId="0" xfId="12" applyFont="1"/>
    <xf numFmtId="10" fontId="15" fillId="0" borderId="0" xfId="20" applyNumberFormat="1" applyFont="1" applyFill="1"/>
    <xf numFmtId="43" fontId="23" fillId="0" borderId="0" xfId="12" applyNumberFormat="1" applyFont="1"/>
    <xf numFmtId="43" fontId="14" fillId="0" borderId="0" xfId="12" quotePrefix="1" applyNumberFormat="1" applyFont="1" applyFill="1" applyBorder="1"/>
    <xf numFmtId="0" fontId="15" fillId="0" borderId="0" xfId="12" applyFont="1" applyFill="1" applyBorder="1"/>
    <xf numFmtId="0" fontId="64" fillId="0" borderId="0" xfId="12" applyFont="1"/>
    <xf numFmtId="8" fontId="2" fillId="0" borderId="0" xfId="12" applyNumberFormat="1" applyFont="1"/>
    <xf numFmtId="43" fontId="11" fillId="7" borderId="12" xfId="3" applyFont="1" applyFill="1" applyBorder="1"/>
    <xf numFmtId="0" fontId="11" fillId="7" borderId="12" xfId="12" applyFont="1" applyFill="1" applyBorder="1"/>
    <xf numFmtId="0" fontId="11" fillId="7" borderId="3" xfId="12" applyFont="1" applyFill="1" applyBorder="1"/>
    <xf numFmtId="0" fontId="11" fillId="7" borderId="12" xfId="12" applyFont="1" applyFill="1" applyBorder="1" applyAlignment="1">
      <alignment horizontal="center"/>
    </xf>
    <xf numFmtId="0" fontId="11" fillId="14" borderId="0" xfId="12" applyFont="1" applyFill="1" applyAlignment="1">
      <alignment horizontal="center" vertical="center"/>
    </xf>
    <xf numFmtId="4" fontId="2" fillId="0" borderId="0" xfId="12" applyNumberFormat="1" applyFont="1"/>
    <xf numFmtId="0" fontId="18" fillId="0" borderId="0" xfId="12" applyFont="1" applyFill="1" applyBorder="1" applyAlignment="1">
      <alignment shrinkToFit="1"/>
    </xf>
    <xf numFmtId="3" fontId="1" fillId="0" borderId="21" xfId="12" applyNumberFormat="1" applyFill="1" applyBorder="1"/>
    <xf numFmtId="0" fontId="2" fillId="0" borderId="14" xfId="12" applyFont="1" applyBorder="1"/>
    <xf numFmtId="0" fontId="2" fillId="0" borderId="17" xfId="12" applyFont="1" applyBorder="1"/>
    <xf numFmtId="0" fontId="2" fillId="0" borderId="13" xfId="12" applyFont="1" applyBorder="1"/>
    <xf numFmtId="43" fontId="15" fillId="0" borderId="0" xfId="3" applyFont="1" applyFill="1" applyBorder="1"/>
    <xf numFmtId="0" fontId="2" fillId="0" borderId="0" xfId="12" applyFont="1" applyFill="1" applyBorder="1"/>
    <xf numFmtId="43" fontId="2" fillId="0" borderId="20" xfId="3" applyFont="1" applyFill="1" applyBorder="1"/>
    <xf numFmtId="0" fontId="14" fillId="8" borderId="20" xfId="12" applyFont="1" applyFill="1" applyBorder="1"/>
    <xf numFmtId="0" fontId="14" fillId="8" borderId="19" xfId="12" applyFont="1" applyFill="1" applyBorder="1"/>
    <xf numFmtId="0" fontId="15" fillId="0" borderId="0" xfId="12" applyFont="1" applyFill="1" applyBorder="1" applyAlignment="1">
      <alignment horizontal="center"/>
    </xf>
    <xf numFmtId="0" fontId="2" fillId="0" borderId="16" xfId="12" applyFont="1" applyBorder="1"/>
    <xf numFmtId="0" fontId="2" fillId="0" borderId="15" xfId="12" applyFont="1" applyBorder="1"/>
    <xf numFmtId="0" fontId="14" fillId="0" borderId="0" xfId="12" applyFont="1" applyFill="1" applyBorder="1" applyAlignment="1">
      <alignment horizontal="center"/>
    </xf>
    <xf numFmtId="15" fontId="2" fillId="0" borderId="0" xfId="12" applyNumberFormat="1" applyFont="1"/>
    <xf numFmtId="0" fontId="18" fillId="0" borderId="0" xfId="12" applyFont="1" applyBorder="1" applyAlignment="1">
      <alignment horizontal="center"/>
    </xf>
    <xf numFmtId="0" fontId="18" fillId="0" borderId="0" xfId="12" applyFont="1" applyBorder="1"/>
    <xf numFmtId="0" fontId="18" fillId="0" borderId="0" xfId="12" applyFont="1" applyFill="1" applyBorder="1" applyAlignment="1" applyProtection="1">
      <alignment vertical="center"/>
      <protection hidden="1"/>
    </xf>
    <xf numFmtId="0" fontId="18" fillId="0" borderId="0" xfId="12" applyFont="1" applyBorder="1" applyAlignment="1" applyProtection="1">
      <alignment vertical="center"/>
      <protection hidden="1"/>
    </xf>
    <xf numFmtId="0" fontId="21" fillId="0" borderId="0" xfId="12" applyFont="1" applyBorder="1" applyAlignment="1">
      <alignment horizontal="center"/>
    </xf>
    <xf numFmtId="0" fontId="21" fillId="0" borderId="0" xfId="12" applyFont="1" applyBorder="1" applyAlignment="1"/>
    <xf numFmtId="165" fontId="1" fillId="0" borderId="0" xfId="12" applyNumberFormat="1"/>
    <xf numFmtId="165" fontId="1" fillId="0" borderId="12" xfId="12" applyNumberFormat="1" applyBorder="1"/>
    <xf numFmtId="0" fontId="5" fillId="0" borderId="12" xfId="12" applyFont="1" applyFill="1" applyBorder="1" applyAlignment="1">
      <alignment horizontal="center"/>
    </xf>
    <xf numFmtId="0" fontId="6" fillId="0" borderId="12" xfId="12" applyFont="1" applyFill="1" applyBorder="1" applyAlignment="1">
      <alignment horizontal="center"/>
    </xf>
    <xf numFmtId="0" fontId="6" fillId="0" borderId="0" xfId="12" applyFont="1" applyFill="1" applyBorder="1"/>
    <xf numFmtId="0" fontId="5" fillId="0" borderId="0" xfId="12" applyFont="1" applyAlignment="1">
      <alignment horizontal="center"/>
    </xf>
    <xf numFmtId="0" fontId="5" fillId="2" borderId="3" xfId="12" applyFont="1" applyFill="1" applyBorder="1" applyAlignment="1">
      <alignment horizontal="center"/>
    </xf>
    <xf numFmtId="0" fontId="5" fillId="2" borderId="2" xfId="12" applyFont="1" applyFill="1" applyBorder="1" applyAlignment="1">
      <alignment horizontal="center"/>
    </xf>
    <xf numFmtId="0" fontId="4" fillId="0" borderId="0" xfId="12" applyFont="1"/>
    <xf numFmtId="0" fontId="1" fillId="0" borderId="1" xfId="12" applyBorder="1"/>
    <xf numFmtId="0" fontId="5" fillId="0" borderId="1" xfId="12" applyFont="1" applyBorder="1" applyAlignment="1">
      <alignment horizontal="left" indent="5"/>
    </xf>
    <xf numFmtId="0" fontId="5" fillId="0" borderId="1" xfId="12" applyFont="1" applyBorder="1" applyAlignment="1">
      <alignment horizontal="left" indent="11"/>
    </xf>
    <xf numFmtId="0" fontId="3" fillId="0" borderId="0" xfId="12" applyFont="1" applyAlignment="1">
      <alignment horizontal="left" indent="5"/>
    </xf>
    <xf numFmtId="0" fontId="3" fillId="0" borderId="0" xfId="12" applyFont="1" applyAlignment="1">
      <alignment horizontal="left" indent="11"/>
    </xf>
    <xf numFmtId="10" fontId="1" fillId="6" borderId="12" xfId="12" applyNumberFormat="1" applyFill="1" applyBorder="1" applyAlignment="1" applyProtection="1">
      <alignment horizontal="center"/>
    </xf>
    <xf numFmtId="9" fontId="0" fillId="0" borderId="0" xfId="20" applyFont="1"/>
    <xf numFmtId="0" fontId="1" fillId="0" borderId="11" xfId="12" applyBorder="1" applyAlignment="1">
      <alignment horizontal="center"/>
    </xf>
    <xf numFmtId="0" fontId="5" fillId="0" borderId="7" xfId="12" applyFont="1" applyBorder="1" applyAlignment="1">
      <alignment horizontal="center"/>
    </xf>
    <xf numFmtId="14" fontId="5" fillId="0" borderId="0" xfId="12" applyNumberFormat="1" applyFont="1"/>
    <xf numFmtId="0" fontId="1" fillId="3" borderId="0" xfId="12" applyFill="1"/>
    <xf numFmtId="0" fontId="2" fillId="0" borderId="0" xfId="1" applyFont="1"/>
    <xf numFmtId="0" fontId="15" fillId="0" borderId="0" xfId="1" applyFont="1"/>
    <xf numFmtId="0" fontId="15" fillId="0" borderId="0" xfId="1" applyFont="1" applyFill="1"/>
    <xf numFmtId="0" fontId="61" fillId="0" borderId="0" xfId="1" applyFont="1" applyFill="1"/>
    <xf numFmtId="0" fontId="61" fillId="0" borderId="0" xfId="1" applyFont="1"/>
    <xf numFmtId="0" fontId="61" fillId="0" borderId="0" xfId="1" applyFont="1" applyFill="1" applyBorder="1"/>
    <xf numFmtId="0" fontId="65" fillId="0" borderId="0" xfId="1" applyFont="1" applyFill="1" applyAlignment="1"/>
    <xf numFmtId="0" fontId="62" fillId="0" borderId="0" xfId="1" applyFont="1" applyFill="1" applyBorder="1"/>
    <xf numFmtId="0" fontId="2" fillId="0" borderId="0" xfId="1" applyFont="1" applyFill="1"/>
    <xf numFmtId="0" fontId="2" fillId="0" borderId="0" xfId="1" applyFont="1" applyFill="1" applyBorder="1"/>
    <xf numFmtId="0" fontId="25" fillId="0" borderId="0" xfId="1" applyFont="1" applyFill="1" applyAlignment="1">
      <alignment shrinkToFit="1"/>
    </xf>
    <xf numFmtId="0" fontId="1" fillId="0" borderId="0" xfId="1" applyFont="1" applyFill="1" applyBorder="1"/>
    <xf numFmtId="0" fontId="25" fillId="0" borderId="0" xfId="1" applyFont="1" applyFill="1" applyAlignment="1"/>
    <xf numFmtId="43" fontId="61" fillId="0" borderId="0" xfId="3" applyFont="1" applyFill="1" applyBorder="1"/>
    <xf numFmtId="0" fontId="65" fillId="0" borderId="0" xfId="1" applyFont="1" applyFill="1" applyAlignment="1">
      <alignment shrinkToFit="1"/>
    </xf>
    <xf numFmtId="0" fontId="62" fillId="0" borderId="0" xfId="1" applyFont="1" applyFill="1"/>
    <xf numFmtId="10" fontId="61" fillId="0" borderId="0" xfId="20" applyNumberFormat="1" applyFont="1" applyFill="1" applyBorder="1"/>
    <xf numFmtId="4" fontId="61" fillId="0" borderId="0" xfId="1" applyNumberFormat="1" applyFont="1"/>
    <xf numFmtId="0" fontId="11" fillId="0" borderId="12" xfId="1" applyFont="1" applyBorder="1"/>
    <xf numFmtId="0" fontId="11" fillId="0" borderId="12" xfId="1" applyFont="1" applyFill="1" applyBorder="1"/>
    <xf numFmtId="0" fontId="11" fillId="0" borderId="3" xfId="1" applyFont="1" applyBorder="1"/>
    <xf numFmtId="0" fontId="11" fillId="0" borderId="3" xfId="1" applyFont="1" applyFill="1" applyBorder="1"/>
    <xf numFmtId="0" fontId="14" fillId="9" borderId="12" xfId="1" applyFont="1" applyFill="1" applyBorder="1" applyAlignment="1">
      <alignment horizontal="center"/>
    </xf>
    <xf numFmtId="0" fontId="11" fillId="0" borderId="0" xfId="1" applyFont="1"/>
    <xf numFmtId="0" fontId="11" fillId="0" borderId="0" xfId="1" applyFont="1" applyFill="1"/>
    <xf numFmtId="0" fontId="15" fillId="0" borderId="0" xfId="1" applyFont="1" applyFill="1" applyBorder="1"/>
    <xf numFmtId="43" fontId="2" fillId="10" borderId="21" xfId="3" applyFont="1" applyFill="1" applyBorder="1" applyAlignment="1">
      <alignment horizontal="center"/>
    </xf>
    <xf numFmtId="0" fontId="2" fillId="0" borderId="14" xfId="1" applyFont="1" applyBorder="1"/>
    <xf numFmtId="0" fontId="2" fillId="10" borderId="17" xfId="1" applyFont="1" applyFill="1" applyBorder="1" applyAlignment="1">
      <alignment horizontal="center"/>
    </xf>
    <xf numFmtId="0" fontId="2" fillId="0" borderId="13" xfId="1" applyFont="1" applyBorder="1"/>
    <xf numFmtId="0" fontId="61" fillId="0" borderId="0" xfId="1" applyFont="1" applyFill="1" applyBorder="1" applyAlignment="1">
      <alignment horizontal="center"/>
    </xf>
    <xf numFmtId="0" fontId="15" fillId="0" borderId="0" xfId="1" applyFont="1" applyFill="1" applyBorder="1" applyAlignment="1">
      <alignment horizontal="center"/>
    </xf>
    <xf numFmtId="0" fontId="2" fillId="10" borderId="16" xfId="1" applyFont="1" applyFill="1" applyBorder="1" applyAlignment="1">
      <alignment horizontal="center"/>
    </xf>
    <xf numFmtId="0" fontId="2" fillId="0" borderId="15" xfId="1" applyFont="1" applyBorder="1"/>
    <xf numFmtId="0" fontId="64" fillId="0" borderId="0" xfId="1" applyFont="1" applyFill="1" applyBorder="1" applyAlignment="1"/>
    <xf numFmtId="0" fontId="14" fillId="0" borderId="0" xfId="1" applyFont="1" applyFill="1" applyBorder="1" applyAlignment="1"/>
    <xf numFmtId="0" fontId="2" fillId="10" borderId="21" xfId="1" quotePrefix="1" applyFont="1" applyFill="1" applyBorder="1" applyAlignment="1">
      <alignment horizontal="center"/>
    </xf>
    <xf numFmtId="15" fontId="61" fillId="0" borderId="0" xfId="1" applyNumberFormat="1" applyFont="1" applyFill="1"/>
    <xf numFmtId="0" fontId="18" fillId="0" borderId="0" xfId="1" applyFont="1"/>
    <xf numFmtId="165" fontId="18" fillId="0" borderId="0" xfId="1" applyNumberFormat="1" applyFont="1" applyAlignment="1">
      <alignment horizontal="center"/>
    </xf>
    <xf numFmtId="0" fontId="18" fillId="0" borderId="0" xfId="1" applyFont="1" applyBorder="1"/>
    <xf numFmtId="0" fontId="18" fillId="0" borderId="0" xfId="1" applyFont="1" applyFill="1"/>
    <xf numFmtId="165" fontId="18" fillId="0" borderId="0" xfId="1" applyNumberFormat="1" applyFont="1" applyFill="1" applyAlignment="1">
      <alignment horizontal="center"/>
    </xf>
    <xf numFmtId="43" fontId="18" fillId="0" borderId="0" xfId="3" applyFont="1" applyFill="1" applyBorder="1" applyAlignment="1" applyProtection="1">
      <alignment vertical="center"/>
      <protection hidden="1"/>
    </xf>
    <xf numFmtId="0" fontId="18" fillId="0" borderId="0" xfId="1" applyFont="1" applyFill="1" applyAlignment="1" applyProtection="1">
      <alignment vertical="center"/>
      <protection hidden="1"/>
    </xf>
    <xf numFmtId="43" fontId="27" fillId="0" borderId="0" xfId="3" applyFont="1" applyFill="1" applyBorder="1" applyAlignment="1" applyProtection="1">
      <alignment vertical="center"/>
      <protection hidden="1"/>
    </xf>
    <xf numFmtId="168" fontId="27" fillId="0" borderId="0" xfId="20" applyNumberFormat="1" applyFont="1" applyFill="1" applyBorder="1" applyAlignment="1" applyProtection="1">
      <alignment vertical="center"/>
      <protection hidden="1"/>
    </xf>
    <xf numFmtId="165" fontId="18" fillId="0" borderId="0" xfId="1" applyNumberFormat="1" applyFont="1" applyFill="1" applyAlignment="1" applyProtection="1">
      <alignment vertical="center"/>
      <protection hidden="1"/>
    </xf>
    <xf numFmtId="4" fontId="18" fillId="0" borderId="0" xfId="3" applyNumberFormat="1" applyFont="1" applyFill="1" applyBorder="1" applyAlignment="1" applyProtection="1">
      <alignment vertical="center"/>
      <protection hidden="1"/>
    </xf>
    <xf numFmtId="165" fontId="18" fillId="0" borderId="0" xfId="1" applyNumberFormat="1" applyFont="1" applyFill="1"/>
    <xf numFmtId="0" fontId="18" fillId="0" borderId="0" xfId="1" applyFont="1" applyFill="1" applyAlignment="1">
      <alignment shrinkToFit="1"/>
    </xf>
    <xf numFmtId="0" fontId="18" fillId="0" borderId="0" xfId="3" applyNumberFormat="1" applyFont="1" applyFill="1" applyBorder="1" applyAlignment="1" applyProtection="1">
      <alignment vertical="center"/>
      <protection hidden="1"/>
    </xf>
    <xf numFmtId="0" fontId="18" fillId="0" borderId="0" xfId="1" applyFont="1" applyFill="1" applyBorder="1"/>
    <xf numFmtId="0" fontId="18" fillId="0" borderId="0" xfId="1" applyFont="1" applyFill="1" applyAlignment="1">
      <alignment horizontal="center"/>
    </xf>
    <xf numFmtId="0" fontId="18" fillId="0" borderId="12" xfId="1" applyFont="1" applyFill="1" applyBorder="1" applyAlignment="1">
      <alignment horizontal="center"/>
    </xf>
    <xf numFmtId="0" fontId="18" fillId="0" borderId="0" xfId="1" applyFont="1" applyFill="1" applyAlignment="1">
      <alignment wrapText="1"/>
    </xf>
    <xf numFmtId="0" fontId="18" fillId="0" borderId="0" xfId="1" applyFont="1" applyFill="1" applyAlignment="1"/>
    <xf numFmtId="0" fontId="18" fillId="0" borderId="0" xfId="1" applyFont="1" applyAlignment="1">
      <alignment horizontal="center"/>
    </xf>
    <xf numFmtId="0" fontId="21" fillId="0" borderId="0" xfId="1" applyFont="1"/>
    <xf numFmtId="0" fontId="1" fillId="0" borderId="0" xfId="13"/>
    <xf numFmtId="169" fontId="6" fillId="0" borderId="0" xfId="18" applyNumberFormat="1"/>
    <xf numFmtId="0" fontId="6" fillId="0" borderId="0" xfId="18"/>
    <xf numFmtId="165" fontId="1" fillId="0" borderId="0" xfId="13" applyNumberFormat="1"/>
    <xf numFmtId="165" fontId="6" fillId="0" borderId="0" xfId="1" applyNumberFormat="1" applyFont="1" applyFill="1" applyBorder="1"/>
    <xf numFmtId="0" fontId="5" fillId="0" borderId="12" xfId="1" applyFont="1" applyFill="1" applyBorder="1" applyAlignment="1">
      <alignment horizontal="center"/>
    </xf>
    <xf numFmtId="0" fontId="6" fillId="0" borderId="12" xfId="1" applyFont="1" applyFill="1" applyBorder="1" applyAlignment="1">
      <alignment horizontal="center"/>
    </xf>
    <xf numFmtId="0" fontId="5" fillId="0" borderId="0" xfId="1" applyFont="1" applyAlignment="1">
      <alignment horizontal="center"/>
    </xf>
    <xf numFmtId="0" fontId="5" fillId="2" borderId="3" xfId="1" applyFont="1" applyFill="1" applyBorder="1" applyAlignment="1">
      <alignment horizontal="center"/>
    </xf>
    <xf numFmtId="0" fontId="5" fillId="2" borderId="2" xfId="1" applyFont="1" applyFill="1" applyBorder="1" applyAlignment="1">
      <alignment horizontal="center"/>
    </xf>
    <xf numFmtId="0" fontId="4" fillId="0" borderId="0" xfId="1" applyFont="1"/>
    <xf numFmtId="0" fontId="0" fillId="0" borderId="1" xfId="1" applyFont="1" applyBorder="1"/>
    <xf numFmtId="0" fontId="5" fillId="0" borderId="1" xfId="1" applyFont="1" applyBorder="1" applyAlignment="1">
      <alignment horizontal="left" indent="5"/>
    </xf>
    <xf numFmtId="0" fontId="5" fillId="0" borderId="1" xfId="1" applyFont="1" applyBorder="1" applyAlignment="1">
      <alignment horizontal="left" indent="11"/>
    </xf>
    <xf numFmtId="0" fontId="3" fillId="0" borderId="0" xfId="1" applyFont="1" applyAlignment="1">
      <alignment horizontal="left" indent="5"/>
    </xf>
    <xf numFmtId="0" fontId="3" fillId="0" borderId="0" xfId="1" applyFont="1" applyAlignment="1">
      <alignment horizontal="left" indent="11"/>
    </xf>
    <xf numFmtId="0" fontId="0" fillId="0" borderId="0" xfId="1" applyFont="1" applyFill="1"/>
    <xf numFmtId="164" fontId="0" fillId="0" borderId="0" xfId="20" applyNumberFormat="1" applyFont="1"/>
    <xf numFmtId="9" fontId="0" fillId="0" borderId="0" xfId="20" applyFont="1" applyFill="1"/>
    <xf numFmtId="0" fontId="0" fillId="0" borderId="11" xfId="1" applyFont="1" applyBorder="1" applyAlignment="1">
      <alignment horizontal="center"/>
    </xf>
    <xf numFmtId="0" fontId="5" fillId="0" borderId="7" xfId="1" applyFont="1" applyBorder="1" applyAlignment="1">
      <alignment horizontal="center"/>
    </xf>
    <xf numFmtId="14" fontId="5" fillId="0" borderId="0" xfId="1" applyNumberFormat="1" applyFont="1"/>
    <xf numFmtId="0" fontId="0" fillId="3" borderId="0" xfId="1" applyFont="1" applyFill="1"/>
    <xf numFmtId="0" fontId="66" fillId="0" borderId="0" xfId="1" applyFont="1" applyFill="1"/>
    <xf numFmtId="4" fontId="2" fillId="0" borderId="0" xfId="1" applyNumberFormat="1" applyFont="1" applyFill="1" applyBorder="1"/>
    <xf numFmtId="4" fontId="1" fillId="0" borderId="0" xfId="1" applyNumberFormat="1" applyFont="1" applyFill="1" applyBorder="1"/>
    <xf numFmtId="0" fontId="22" fillId="0" borderId="0" xfId="1" applyFont="1" applyFill="1" applyBorder="1"/>
    <xf numFmtId="4" fontId="2" fillId="0" borderId="0" xfId="1" quotePrefix="1" applyNumberFormat="1" applyFont="1" applyFill="1" applyBorder="1"/>
    <xf numFmtId="0" fontId="67" fillId="0" borderId="0" xfId="1" applyFont="1" applyFill="1" applyAlignment="1" applyProtection="1">
      <alignment vertical="center"/>
      <protection hidden="1"/>
    </xf>
    <xf numFmtId="0" fontId="63" fillId="0" borderId="0" xfId="1" applyFont="1" applyFill="1" applyAlignment="1">
      <alignment shrinkToFit="1"/>
    </xf>
    <xf numFmtId="2" fontId="18" fillId="0" borderId="0" xfId="1" applyNumberFormat="1" applyFont="1" applyAlignment="1">
      <alignment horizontal="center"/>
    </xf>
    <xf numFmtId="2" fontId="18" fillId="0" borderId="0" xfId="1" applyNumberFormat="1" applyFont="1" applyFill="1" applyAlignment="1">
      <alignment horizontal="center"/>
    </xf>
    <xf numFmtId="2" fontId="18" fillId="0" borderId="12" xfId="1" applyNumberFormat="1" applyFont="1" applyFill="1" applyBorder="1" applyAlignment="1">
      <alignment horizontal="center"/>
    </xf>
    <xf numFmtId="2" fontId="18" fillId="0" borderId="0" xfId="1" applyNumberFormat="1" applyFont="1" applyFill="1" applyAlignment="1"/>
    <xf numFmtId="43" fontId="64" fillId="0" borderId="0" xfId="1" quotePrefix="1" applyNumberFormat="1" applyFont="1" applyFill="1" applyBorder="1"/>
    <xf numFmtId="4" fontId="18" fillId="0" borderId="0" xfId="1" applyNumberFormat="1" applyFont="1" applyFill="1" applyAlignment="1">
      <alignment horizontal="right"/>
    </xf>
    <xf numFmtId="167" fontId="18" fillId="0" borderId="0" xfId="1" applyNumberFormat="1" applyFont="1" applyFill="1" applyAlignment="1" applyProtection="1">
      <alignment vertical="center"/>
      <protection hidden="1"/>
    </xf>
    <xf numFmtId="0" fontId="18" fillId="7" borderId="0" xfId="1" applyNumberFormat="1" applyFont="1" applyFill="1"/>
    <xf numFmtId="165" fontId="18" fillId="7" borderId="0" xfId="1" applyNumberFormat="1" applyFont="1" applyFill="1"/>
    <xf numFmtId="0" fontId="18" fillId="7" borderId="0" xfId="1" applyFont="1" applyFill="1" applyBorder="1"/>
    <xf numFmtId="0" fontId="18" fillId="7" borderId="0" xfId="1" applyFont="1" applyFill="1" applyAlignment="1">
      <alignment shrinkToFit="1"/>
    </xf>
    <xf numFmtId="0" fontId="18" fillId="7" borderId="0" xfId="1" applyFont="1" applyFill="1"/>
    <xf numFmtId="165" fontId="18" fillId="7" borderId="0" xfId="1" applyNumberFormat="1" applyFont="1" applyFill="1" applyAlignment="1">
      <alignment horizontal="right"/>
    </xf>
    <xf numFmtId="43" fontId="66" fillId="0" borderId="0" xfId="1" applyNumberFormat="1" applyFont="1" applyFill="1" applyBorder="1"/>
    <xf numFmtId="43" fontId="14" fillId="0" borderId="0" xfId="1" quotePrefix="1" applyNumberFormat="1" applyFont="1" applyFill="1" applyBorder="1"/>
    <xf numFmtId="43" fontId="66" fillId="0" borderId="0" xfId="1" applyNumberFormat="1" applyFont="1"/>
    <xf numFmtId="0" fontId="66" fillId="0" borderId="0" xfId="1" applyFont="1"/>
    <xf numFmtId="0" fontId="63" fillId="0" borderId="0" xfId="1" applyFont="1" applyFill="1"/>
    <xf numFmtId="166" fontId="6" fillId="0" borderId="12" xfId="3" quotePrefix="1" applyNumberFormat="1" applyFont="1" applyBorder="1" applyAlignment="1" applyProtection="1">
      <alignment horizontal="center"/>
      <protection hidden="1"/>
    </xf>
    <xf numFmtId="166" fontId="6" fillId="0" borderId="12" xfId="3" applyNumberFormat="1" applyFont="1" applyBorder="1" applyAlignment="1" applyProtection="1">
      <alignment horizontal="center"/>
      <protection hidden="1"/>
    </xf>
    <xf numFmtId="167" fontId="11" fillId="0" borderId="12" xfId="3" applyNumberFormat="1" applyFont="1" applyBorder="1"/>
    <xf numFmtId="0" fontId="1" fillId="0" borderId="0" xfId="1" applyFont="1" applyFill="1"/>
    <xf numFmtId="0" fontId="2" fillId="0" borderId="0" xfId="1" applyFont="1" applyFill="1" applyBorder="1" applyAlignment="1">
      <alignment horizontal="center" vertical="center" wrapText="1"/>
    </xf>
    <xf numFmtId="43" fontId="2" fillId="0" borderId="0" xfId="1" applyNumberFormat="1" applyFont="1" applyFill="1" applyBorder="1"/>
    <xf numFmtId="166" fontId="2" fillId="0" borderId="0" xfId="1" quotePrefix="1" applyNumberFormat="1" applyFont="1" applyFill="1" applyBorder="1"/>
    <xf numFmtId="164" fontId="2" fillId="0" borderId="0" xfId="20" quotePrefix="1" applyNumberFormat="1" applyFont="1" applyFill="1" applyBorder="1"/>
    <xf numFmtId="43" fontId="2" fillId="0" borderId="0" xfId="3" quotePrefix="1" applyFont="1" applyFill="1" applyBorder="1"/>
    <xf numFmtId="0" fontId="0" fillId="13" borderId="0" xfId="0" applyFill="1"/>
    <xf numFmtId="0" fontId="28" fillId="13" borderId="0" xfId="0" applyFont="1" applyFill="1"/>
    <xf numFmtId="0" fontId="68" fillId="13" borderId="0" xfId="0" applyFont="1" applyFill="1"/>
    <xf numFmtId="0" fontId="68" fillId="0" borderId="0" xfId="0" applyFont="1"/>
    <xf numFmtId="0" fontId="68" fillId="14" borderId="0" xfId="0" applyFont="1" applyFill="1"/>
    <xf numFmtId="0" fontId="69" fillId="13" borderId="0" xfId="0" applyFont="1" applyFill="1"/>
    <xf numFmtId="0" fontId="68" fillId="0" borderId="0" xfId="0" applyFont="1" applyFill="1" applyBorder="1" applyAlignment="1" applyProtection="1">
      <alignment vertical="center"/>
      <protection hidden="1"/>
    </xf>
    <xf numFmtId="0" fontId="68" fillId="13" borderId="0" xfId="0" applyFont="1" applyFill="1" applyAlignment="1">
      <alignment vertical="center"/>
    </xf>
    <xf numFmtId="0" fontId="70" fillId="15" borderId="0" xfId="0" applyFont="1" applyFill="1" applyAlignment="1">
      <alignment horizontal="center"/>
    </xf>
    <xf numFmtId="43" fontId="71" fillId="16" borderId="12" xfId="3" applyFont="1" applyFill="1" applyBorder="1" applyAlignment="1">
      <alignment horizontal="right"/>
    </xf>
    <xf numFmtId="0" fontId="71" fillId="16" borderId="12" xfId="0" applyFont="1" applyFill="1" applyBorder="1" applyAlignment="1">
      <alignment horizontal="center"/>
    </xf>
    <xf numFmtId="0" fontId="29" fillId="13" borderId="0" xfId="0" applyFont="1" applyFill="1" applyAlignment="1">
      <alignment horizontal="right"/>
    </xf>
    <xf numFmtId="0" fontId="68" fillId="17" borderId="0" xfId="0" applyFont="1" applyFill="1"/>
    <xf numFmtId="165" fontId="0" fillId="0" borderId="12" xfId="0" applyNumberFormat="1" applyBorder="1"/>
    <xf numFmtId="0" fontId="5" fillId="0" borderId="12" xfId="0" applyFont="1" applyFill="1" applyBorder="1" applyAlignment="1">
      <alignment horizontal="center"/>
    </xf>
    <xf numFmtId="0" fontId="2" fillId="0" borderId="0" xfId="12" applyFont="1" applyBorder="1" applyAlignment="1">
      <alignment horizontal="center" vertical="center" wrapText="1"/>
    </xf>
    <xf numFmtId="0" fontId="2" fillId="10" borderId="0" xfId="12" applyFont="1" applyFill="1" applyBorder="1" applyAlignment="1">
      <alignment horizontal="center" vertical="center" wrapText="1"/>
    </xf>
    <xf numFmtId="43" fontId="2" fillId="0" borderId="0" xfId="12" applyNumberFormat="1" applyFont="1" applyBorder="1"/>
    <xf numFmtId="43" fontId="2" fillId="0" borderId="0" xfId="3" applyFont="1" applyBorder="1"/>
    <xf numFmtId="43" fontId="2" fillId="10" borderId="0" xfId="3" applyFont="1" applyFill="1" applyBorder="1"/>
    <xf numFmtId="164" fontId="2" fillId="0" borderId="0" xfId="20" quotePrefix="1" applyNumberFormat="1" applyFont="1" applyBorder="1"/>
    <xf numFmtId="43" fontId="2" fillId="0" borderId="0" xfId="3" quotePrefix="1" applyFont="1" applyBorder="1"/>
    <xf numFmtId="43" fontId="2" fillId="10" borderId="0" xfId="3" quotePrefix="1" applyFont="1" applyFill="1" applyBorder="1"/>
    <xf numFmtId="43" fontId="2" fillId="11" borderId="0" xfId="3" applyFont="1" applyFill="1" applyBorder="1"/>
    <xf numFmtId="0" fontId="11" fillId="8" borderId="18" xfId="12" applyFont="1" applyFill="1" applyBorder="1"/>
    <xf numFmtId="0" fontId="68" fillId="18" borderId="0" xfId="0" applyFont="1" applyFill="1"/>
    <xf numFmtId="0" fontId="71" fillId="13" borderId="0" xfId="0" applyFont="1" applyFill="1" applyAlignment="1">
      <alignment horizontal="center"/>
    </xf>
    <xf numFmtId="165" fontId="6" fillId="0" borderId="0" xfId="18" applyNumberFormat="1"/>
    <xf numFmtId="0" fontId="68" fillId="19" borderId="0" xfId="0" applyFont="1" applyFill="1"/>
    <xf numFmtId="43" fontId="18" fillId="0" borderId="0" xfId="3" applyFont="1" applyFill="1"/>
    <xf numFmtId="166" fontId="18" fillId="0" borderId="0" xfId="3" applyNumberFormat="1" applyFont="1" applyFill="1"/>
    <xf numFmtId="43" fontId="68" fillId="17" borderId="0" xfId="0" applyNumberFormat="1" applyFont="1" applyFill="1"/>
    <xf numFmtId="43" fontId="6" fillId="0" borderId="0" xfId="3" applyFont="1" applyFill="1" applyBorder="1" applyAlignment="1" applyProtection="1">
      <alignment vertical="center"/>
      <protection hidden="1"/>
    </xf>
    <xf numFmtId="166" fontId="6" fillId="0" borderId="0" xfId="3" applyNumberFormat="1" applyFont="1" applyFill="1" applyBorder="1" applyAlignment="1" applyProtection="1">
      <alignment vertical="center"/>
      <protection hidden="1"/>
    </xf>
    <xf numFmtId="166" fontId="6" fillId="0" borderId="12" xfId="3" applyNumberFormat="1" applyFont="1" applyFill="1" applyBorder="1" applyAlignment="1">
      <alignment horizontal="center"/>
    </xf>
    <xf numFmtId="43" fontId="6" fillId="0" borderId="12" xfId="3" applyFont="1" applyFill="1" applyBorder="1" applyAlignment="1" applyProtection="1">
      <alignment vertical="center"/>
      <protection hidden="1"/>
    </xf>
    <xf numFmtId="43" fontId="6" fillId="0" borderId="12" xfId="3" applyFont="1" applyFill="1" applyBorder="1"/>
    <xf numFmtId="43" fontId="6" fillId="0" borderId="12" xfId="3" applyFont="1" applyFill="1" applyBorder="1" applyAlignment="1">
      <alignment horizontal="center"/>
    </xf>
    <xf numFmtId="0" fontId="18" fillId="0" borderId="0" xfId="0" applyFont="1" applyFill="1" applyBorder="1" applyAlignment="1">
      <alignment shrinkToFit="1"/>
    </xf>
    <xf numFmtId="0" fontId="18" fillId="0" borderId="0" xfId="0" applyFont="1" applyBorder="1"/>
    <xf numFmtId="0" fontId="18" fillId="0" borderId="0" xfId="0" applyNumberFormat="1" applyFont="1" applyBorder="1"/>
    <xf numFmtId="4" fontId="18" fillId="0" borderId="0" xfId="0" applyNumberFormat="1" applyFont="1" applyBorder="1"/>
    <xf numFmtId="0" fontId="18" fillId="0" borderId="0" xfId="0" applyFont="1" applyBorder="1" applyAlignment="1" applyProtection="1">
      <alignment vertical="center"/>
      <protection hidden="1"/>
    </xf>
    <xf numFmtId="0" fontId="18" fillId="0" borderId="0" xfId="0" applyFont="1" applyFill="1" applyBorder="1" applyAlignment="1" applyProtection="1">
      <alignment vertical="center"/>
      <protection hidden="1"/>
    </xf>
    <xf numFmtId="0" fontId="0" fillId="0" borderId="0" xfId="20" applyNumberFormat="1" applyFont="1"/>
    <xf numFmtId="0" fontId="18" fillId="0" borderId="12" xfId="3" applyNumberFormat="1" applyFont="1" applyFill="1" applyBorder="1" applyAlignment="1">
      <alignment horizontal="center"/>
    </xf>
    <xf numFmtId="4" fontId="18" fillId="0" borderId="12" xfId="3" applyNumberFormat="1" applyFont="1" applyFill="1" applyBorder="1" applyAlignment="1">
      <alignment horizontal="center"/>
    </xf>
    <xf numFmtId="0" fontId="18" fillId="18" borderId="12" xfId="0" applyFont="1" applyFill="1" applyBorder="1" applyAlignment="1" applyProtection="1">
      <alignment vertical="center"/>
      <protection hidden="1"/>
    </xf>
    <xf numFmtId="0" fontId="72" fillId="0" borderId="12" xfId="0" applyFont="1" applyFill="1" applyBorder="1" applyAlignment="1" applyProtection="1">
      <alignment vertical="center"/>
      <protection hidden="1"/>
    </xf>
    <xf numFmtId="0" fontId="72" fillId="18" borderId="12" xfId="0" applyFont="1" applyFill="1" applyBorder="1" applyAlignment="1" applyProtection="1">
      <alignment vertical="center"/>
      <protection hidden="1"/>
    </xf>
    <xf numFmtId="0" fontId="18" fillId="14" borderId="12" xfId="3" applyNumberFormat="1" applyFont="1" applyFill="1" applyBorder="1" applyAlignment="1">
      <alignment horizontal="center"/>
    </xf>
    <xf numFmtId="4" fontId="18" fillId="14" borderId="12" xfId="3" applyNumberFormat="1" applyFont="1" applyFill="1" applyBorder="1" applyAlignment="1">
      <alignment horizontal="center"/>
    </xf>
    <xf numFmtId="43" fontId="2" fillId="14" borderId="0" xfId="3" applyFont="1" applyFill="1"/>
    <xf numFmtId="0" fontId="2" fillId="14" borderId="0" xfId="0" applyFont="1" applyFill="1"/>
    <xf numFmtId="0" fontId="2" fillId="14" borderId="0" xfId="0" applyFont="1" applyFill="1" applyBorder="1"/>
    <xf numFmtId="10" fontId="2" fillId="14" borderId="0" xfId="20" applyNumberFormat="1" applyFont="1" applyFill="1" applyBorder="1"/>
    <xf numFmtId="0" fontId="72" fillId="14" borderId="0" xfId="0" applyNumberFormat="1" applyFont="1" applyFill="1" applyBorder="1" applyAlignment="1"/>
    <xf numFmtId="165" fontId="18" fillId="14" borderId="0" xfId="1" applyNumberFormat="1" applyFont="1" applyFill="1"/>
    <xf numFmtId="4" fontId="18" fillId="14" borderId="0" xfId="1" applyNumberFormat="1" applyFont="1" applyFill="1"/>
    <xf numFmtId="0" fontId="18" fillId="14" borderId="0" xfId="1" applyNumberFormat="1" applyFont="1" applyFill="1"/>
    <xf numFmtId="9" fontId="0" fillId="0" borderId="0" xfId="20" applyNumberFormat="1" applyFont="1" applyFill="1"/>
    <xf numFmtId="0" fontId="34" fillId="13" borderId="0" xfId="14" applyFont="1" applyFill="1" applyBorder="1" applyProtection="1"/>
    <xf numFmtId="0" fontId="31" fillId="13" borderId="0" xfId="14" applyFont="1" applyFill="1" applyBorder="1" applyProtection="1"/>
    <xf numFmtId="44" fontId="33" fillId="13" borderId="0" xfId="8" applyFont="1" applyFill="1" applyBorder="1" applyAlignment="1" applyProtection="1">
      <alignment horizontal="center"/>
      <protection hidden="1"/>
    </xf>
    <xf numFmtId="44" fontId="31" fillId="13" borderId="0" xfId="8" applyFont="1" applyFill="1" applyBorder="1" applyProtection="1"/>
    <xf numFmtId="0" fontId="31" fillId="13" borderId="0" xfId="14" applyFont="1" applyFill="1" applyProtection="1"/>
    <xf numFmtId="0" fontId="31" fillId="13" borderId="22" xfId="14" applyFont="1" applyFill="1" applyBorder="1" applyProtection="1"/>
    <xf numFmtId="0" fontId="35" fillId="13" borderId="0" xfId="14" applyFont="1" applyFill="1" applyBorder="1" applyProtection="1"/>
    <xf numFmtId="0" fontId="36" fillId="13" borderId="0" xfId="14" applyFont="1" applyFill="1" applyAlignment="1" applyProtection="1">
      <alignment horizontal="center"/>
    </xf>
    <xf numFmtId="0" fontId="31" fillId="13" borderId="0" xfId="14" applyFont="1" applyFill="1" applyAlignment="1" applyProtection="1"/>
    <xf numFmtId="44" fontId="34" fillId="13" borderId="0" xfId="8" applyFont="1" applyFill="1" applyBorder="1" applyAlignment="1" applyProtection="1">
      <alignment horizontal="right"/>
      <protection hidden="1"/>
    </xf>
    <xf numFmtId="0" fontId="31" fillId="13" borderId="13" xfId="14" applyFont="1" applyFill="1" applyBorder="1" applyProtection="1"/>
    <xf numFmtId="0" fontId="35" fillId="13" borderId="0" xfId="14" applyFont="1" applyFill="1" applyBorder="1" applyAlignment="1" applyProtection="1">
      <alignment horizontal="center"/>
    </xf>
    <xf numFmtId="44" fontId="34" fillId="13" borderId="0" xfId="8" applyFont="1" applyFill="1" applyBorder="1" applyAlignment="1" applyProtection="1">
      <protection hidden="1"/>
    </xf>
    <xf numFmtId="0" fontId="34" fillId="13" borderId="0" xfId="14" applyFont="1" applyFill="1" applyBorder="1" applyAlignment="1" applyProtection="1">
      <alignment horizontal="right"/>
    </xf>
    <xf numFmtId="0" fontId="31" fillId="13" borderId="14" xfId="14" applyFont="1" applyFill="1" applyBorder="1" applyProtection="1"/>
    <xf numFmtId="0" fontId="31" fillId="13" borderId="23" xfId="14" applyFont="1" applyFill="1" applyBorder="1" applyProtection="1"/>
    <xf numFmtId="0" fontId="6" fillId="13" borderId="0" xfId="11" applyFill="1"/>
    <xf numFmtId="0" fontId="5" fillId="13" borderId="0" xfId="11" applyFont="1" applyFill="1" applyAlignment="1">
      <alignment horizontal="right"/>
    </xf>
    <xf numFmtId="15" fontId="5" fillId="13" borderId="0" xfId="11" applyNumberFormat="1" applyFont="1" applyFill="1" applyBorder="1" applyAlignment="1">
      <alignment horizontal="justify"/>
    </xf>
    <xf numFmtId="0" fontId="5" fillId="13" borderId="0" xfId="11" applyNumberFormat="1" applyFont="1" applyFill="1" applyAlignment="1">
      <alignment horizontal="left"/>
    </xf>
    <xf numFmtId="15" fontId="6" fillId="13" borderId="0" xfId="11" applyNumberFormat="1" applyFill="1"/>
    <xf numFmtId="0" fontId="6" fillId="13" borderId="0" xfId="11" applyFont="1" applyFill="1"/>
    <xf numFmtId="0" fontId="24" fillId="13" borderId="0" xfId="11" applyFont="1" applyFill="1" applyAlignment="1">
      <alignment horizontal="center"/>
    </xf>
    <xf numFmtId="0" fontId="45" fillId="13" borderId="0" xfId="11" applyFont="1" applyFill="1" applyAlignment="1">
      <alignment horizontal="center"/>
    </xf>
    <xf numFmtId="14" fontId="6" fillId="13" borderId="0" xfId="11" applyNumberFormat="1" applyFill="1" applyAlignment="1">
      <alignment horizontal="center"/>
    </xf>
    <xf numFmtId="0" fontId="25" fillId="13" borderId="0" xfId="11" applyFont="1" applyFill="1" applyAlignment="1">
      <alignment horizontal="justify"/>
    </xf>
    <xf numFmtId="0" fontId="46" fillId="13" borderId="0" xfId="11" applyFont="1" applyFill="1" applyAlignment="1">
      <alignment horizontal="justify"/>
    </xf>
    <xf numFmtId="0" fontId="46" fillId="13" borderId="0" xfId="11" applyFont="1" applyFill="1" applyAlignment="1">
      <alignment horizontal="right"/>
    </xf>
    <xf numFmtId="0" fontId="11" fillId="13" borderId="0" xfId="11" applyFont="1" applyFill="1" applyAlignment="1">
      <alignment horizontal="left"/>
    </xf>
    <xf numFmtId="0" fontId="5" fillId="13" borderId="0" xfId="11" applyFont="1" applyFill="1"/>
    <xf numFmtId="0" fontId="25" fillId="13" borderId="0" xfId="11" applyFont="1" applyFill="1" applyAlignment="1">
      <alignment horizontal="left"/>
    </xf>
    <xf numFmtId="0" fontId="2" fillId="13" borderId="0" xfId="11" applyFont="1" applyFill="1" applyAlignment="1">
      <alignment horizontal="justify"/>
    </xf>
    <xf numFmtId="0" fontId="25" fillId="13" borderId="0" xfId="11" applyFont="1" applyFill="1" applyAlignment="1">
      <alignment horizontal="right"/>
    </xf>
    <xf numFmtId="0" fontId="25" fillId="13" borderId="0" xfId="11" applyFont="1" applyFill="1" applyAlignment="1">
      <alignment horizontal="left" wrapText="1"/>
    </xf>
    <xf numFmtId="0" fontId="25" fillId="13" borderId="0" xfId="11" quotePrefix="1" applyFont="1" applyFill="1" applyAlignment="1">
      <alignment horizontal="justify"/>
    </xf>
    <xf numFmtId="0" fontId="2" fillId="13" borderId="24" xfId="11" applyFont="1" applyFill="1" applyBorder="1" applyAlignment="1">
      <alignment horizontal="right" vertical="top" wrapText="1"/>
    </xf>
    <xf numFmtId="44" fontId="1" fillId="13" borderId="24" xfId="11" applyNumberFormat="1" applyFont="1" applyFill="1" applyBorder="1" applyAlignment="1">
      <alignment horizontal="justify" vertical="top" wrapText="1"/>
    </xf>
    <xf numFmtId="0" fontId="1" fillId="13" borderId="25" xfId="11" applyFont="1" applyFill="1" applyBorder="1" applyAlignment="1">
      <alignment horizontal="justify" vertical="top" wrapText="1"/>
    </xf>
    <xf numFmtId="44" fontId="6" fillId="13" borderId="25" xfId="8" applyFill="1" applyBorder="1"/>
    <xf numFmtId="0" fontId="6" fillId="13" borderId="26" xfId="11" applyFill="1" applyBorder="1"/>
    <xf numFmtId="0" fontId="6" fillId="13" borderId="25" xfId="11" applyFont="1" applyFill="1" applyBorder="1" applyAlignment="1">
      <alignment horizontal="right"/>
    </xf>
    <xf numFmtId="0" fontId="6" fillId="13" borderId="26" xfId="11" applyFill="1" applyBorder="1" applyAlignment="1">
      <alignment horizontal="center"/>
    </xf>
    <xf numFmtId="0" fontId="1" fillId="13" borderId="24" xfId="11" applyFont="1" applyFill="1" applyBorder="1" applyAlignment="1">
      <alignment horizontal="justify" vertical="top" wrapText="1"/>
    </xf>
    <xf numFmtId="0" fontId="6" fillId="13" borderId="25" xfId="11" applyFill="1" applyBorder="1"/>
    <xf numFmtId="0" fontId="1" fillId="13" borderId="27" xfId="11" applyFont="1" applyFill="1" applyBorder="1" applyAlignment="1">
      <alignment horizontal="justify" vertical="top" wrapText="1"/>
    </xf>
    <xf numFmtId="0" fontId="1" fillId="13" borderId="28" xfId="11" applyFont="1" applyFill="1" applyBorder="1" applyAlignment="1">
      <alignment horizontal="justify" vertical="top" wrapText="1"/>
    </xf>
    <xf numFmtId="0" fontId="6" fillId="13" borderId="28" xfId="11" applyFill="1" applyBorder="1"/>
    <xf numFmtId="0" fontId="6" fillId="13" borderId="29" xfId="11" applyFill="1" applyBorder="1"/>
    <xf numFmtId="0" fontId="2" fillId="13" borderId="0" xfId="11" applyFont="1" applyFill="1" applyBorder="1" applyAlignment="1">
      <alignment horizontal="right" vertical="top" wrapText="1"/>
    </xf>
    <xf numFmtId="0" fontId="1" fillId="13" borderId="0" xfId="11" applyFont="1" applyFill="1" applyBorder="1" applyAlignment="1">
      <alignment horizontal="justify" vertical="top" wrapText="1"/>
    </xf>
    <xf numFmtId="0" fontId="46" fillId="20" borderId="26" xfId="11" applyFont="1" applyFill="1" applyBorder="1" applyAlignment="1">
      <alignment horizontal="center" vertical="top" wrapText="1"/>
    </xf>
    <xf numFmtId="0" fontId="6" fillId="13" borderId="30" xfId="11" applyFill="1" applyBorder="1"/>
    <xf numFmtId="0" fontId="25" fillId="13" borderId="31" xfId="11" applyFont="1" applyFill="1" applyBorder="1" applyAlignment="1">
      <alignment horizontal="center" vertical="top" wrapText="1"/>
    </xf>
    <xf numFmtId="10" fontId="25" fillId="13" borderId="31" xfId="11" applyNumberFormat="1" applyFont="1" applyFill="1" applyBorder="1" applyAlignment="1">
      <alignment horizontal="center" vertical="top" wrapText="1"/>
    </xf>
    <xf numFmtId="0" fontId="6" fillId="13" borderId="31" xfId="11" applyFill="1" applyBorder="1"/>
    <xf numFmtId="4" fontId="25" fillId="13" borderId="31" xfId="11" applyNumberFormat="1" applyFont="1" applyFill="1" applyBorder="1" applyAlignment="1">
      <alignment horizontal="center" vertical="top" wrapText="1"/>
    </xf>
    <xf numFmtId="0" fontId="25" fillId="13" borderId="32" xfId="11" applyFont="1" applyFill="1" applyBorder="1" applyAlignment="1">
      <alignment horizontal="center" vertical="top" wrapText="1"/>
    </xf>
    <xf numFmtId="4" fontId="25" fillId="13" borderId="31" xfId="11" applyNumberFormat="1" applyFont="1" applyFill="1" applyBorder="1" applyAlignment="1">
      <alignment horizontal="center" vertical="center" wrapText="1"/>
    </xf>
    <xf numFmtId="4" fontId="25" fillId="13" borderId="29" xfId="11" applyNumberFormat="1" applyFont="1" applyFill="1" applyBorder="1" applyAlignment="1">
      <alignment horizontal="center" vertical="top" wrapText="1"/>
    </xf>
    <xf numFmtId="0" fontId="16" fillId="13" borderId="0" xfId="11" applyFont="1" applyFill="1" applyAlignment="1">
      <alignment horizontal="left"/>
    </xf>
    <xf numFmtId="0" fontId="25" fillId="13" borderId="0" xfId="11" applyFont="1" applyFill="1"/>
    <xf numFmtId="177" fontId="6" fillId="13" borderId="0" xfId="8" applyNumberFormat="1" applyFont="1" applyFill="1" applyAlignment="1">
      <alignment horizontal="left"/>
    </xf>
    <xf numFmtId="15" fontId="5" fillId="13" borderId="0" xfId="11" applyNumberFormat="1" applyFont="1" applyFill="1" applyAlignment="1">
      <alignment horizontal="center"/>
    </xf>
    <xf numFmtId="0" fontId="5" fillId="13" borderId="0" xfId="11" applyFont="1" applyFill="1" applyAlignment="1">
      <alignment horizontal="center"/>
    </xf>
    <xf numFmtId="0" fontId="46" fillId="13" borderId="0" xfId="11" applyFont="1" applyFill="1" applyAlignment="1">
      <alignment horizontal="center"/>
    </xf>
    <xf numFmtId="0" fontId="46" fillId="13" borderId="0" xfId="11" applyFont="1" applyFill="1" applyAlignment="1">
      <alignment horizontal="left"/>
    </xf>
    <xf numFmtId="0" fontId="43" fillId="13" borderId="0" xfId="11" applyFont="1" applyFill="1" applyAlignment="1">
      <alignment horizontal="center"/>
    </xf>
    <xf numFmtId="0" fontId="47" fillId="13" borderId="0" xfId="11" applyFont="1" applyFill="1" applyAlignment="1" applyProtection="1">
      <alignment horizontal="center"/>
      <protection locked="0"/>
    </xf>
    <xf numFmtId="0" fontId="47" fillId="13" borderId="0" xfId="11" applyFont="1" applyFill="1"/>
    <xf numFmtId="14" fontId="25" fillId="13" borderId="25" xfId="11" applyNumberFormat="1" applyFont="1" applyFill="1" applyBorder="1" applyAlignment="1" applyProtection="1">
      <alignment horizontal="left"/>
      <protection locked="0"/>
    </xf>
    <xf numFmtId="15" fontId="25" fillId="13" borderId="25" xfId="11" applyNumberFormat="1" applyFont="1" applyFill="1" applyBorder="1" applyAlignment="1">
      <alignment horizontal="justify"/>
    </xf>
    <xf numFmtId="14" fontId="25" fillId="13" borderId="0" xfId="11" applyNumberFormat="1" applyFont="1" applyFill="1" applyAlignment="1">
      <alignment horizontal="justify"/>
    </xf>
    <xf numFmtId="0" fontId="48" fillId="13" borderId="0" xfId="11" applyFont="1" applyFill="1"/>
    <xf numFmtId="0" fontId="49" fillId="13" borderId="0" xfId="11" applyFont="1" applyFill="1" applyAlignment="1" applyProtection="1">
      <protection locked="0"/>
    </xf>
    <xf numFmtId="0" fontId="1" fillId="13" borderId="0" xfId="11" applyFont="1" applyFill="1"/>
    <xf numFmtId="0" fontId="47" fillId="13" borderId="0" xfId="11" applyFont="1" applyFill="1" applyAlignment="1">
      <alignment horizontal="justify"/>
    </xf>
    <xf numFmtId="0" fontId="1" fillId="13" borderId="18" xfId="11" applyFont="1" applyFill="1" applyBorder="1" applyAlignment="1">
      <alignment horizontal="right" vertical="top" wrapText="1"/>
    </xf>
    <xf numFmtId="44" fontId="1" fillId="13" borderId="20" xfId="11" applyNumberFormat="1" applyFont="1" applyFill="1" applyBorder="1" applyAlignment="1">
      <alignment horizontal="justify" vertical="top" wrapText="1"/>
    </xf>
    <xf numFmtId="0" fontId="1" fillId="13" borderId="20" xfId="11" applyFont="1" applyFill="1" applyBorder="1" applyAlignment="1">
      <alignment horizontal="center" vertical="top" wrapText="1"/>
    </xf>
    <xf numFmtId="0" fontId="1" fillId="13" borderId="33" xfId="11" applyFont="1" applyFill="1" applyBorder="1" applyAlignment="1">
      <alignment horizontal="justify" vertical="top" wrapText="1"/>
    </xf>
    <xf numFmtId="0" fontId="6" fillId="13" borderId="20" xfId="11" applyFill="1" applyBorder="1"/>
    <xf numFmtId="0" fontId="1" fillId="13" borderId="21" xfId="11" applyFont="1" applyFill="1" applyBorder="1" applyAlignment="1">
      <alignment horizontal="right" vertical="top" wrapText="1"/>
    </xf>
    <xf numFmtId="44" fontId="1" fillId="13" borderId="19" xfId="11" applyNumberFormat="1" applyFont="1" applyFill="1" applyBorder="1" applyAlignment="1">
      <alignment horizontal="justify" vertical="top" wrapText="1"/>
    </xf>
    <xf numFmtId="0" fontId="1" fillId="13" borderId="19" xfId="11" applyFont="1" applyFill="1" applyBorder="1" applyAlignment="1">
      <alignment vertical="top" wrapText="1"/>
    </xf>
    <xf numFmtId="0" fontId="1" fillId="13" borderId="33" xfId="11" applyFont="1" applyFill="1" applyBorder="1" applyAlignment="1">
      <alignment vertical="top" wrapText="1"/>
    </xf>
    <xf numFmtId="0" fontId="1" fillId="13" borderId="19" xfId="11" applyFont="1" applyFill="1" applyBorder="1" applyAlignment="1">
      <alignment horizontal="justify" vertical="top" wrapText="1"/>
    </xf>
    <xf numFmtId="0" fontId="50" fillId="13" borderId="0" xfId="11" applyFont="1" applyFill="1" applyAlignment="1">
      <alignment horizontal="justify"/>
    </xf>
    <xf numFmtId="0" fontId="47" fillId="13" borderId="0" xfId="11" applyFont="1" applyFill="1" applyAlignment="1">
      <alignment horizontal="left"/>
    </xf>
    <xf numFmtId="0" fontId="1" fillId="13" borderId="0" xfId="11" applyFont="1" applyFill="1" applyAlignment="1">
      <alignment horizontal="justify"/>
    </xf>
    <xf numFmtId="0" fontId="1" fillId="13" borderId="0" xfId="11" applyFont="1" applyFill="1" applyAlignment="1">
      <alignment horizontal="center"/>
    </xf>
    <xf numFmtId="9" fontId="1" fillId="13" borderId="0" xfId="11" applyNumberFormat="1" applyFont="1" applyFill="1"/>
    <xf numFmtId="3" fontId="1" fillId="13" borderId="0" xfId="11" applyNumberFormat="1" applyFont="1" applyFill="1" applyAlignment="1">
      <alignment horizontal="center"/>
    </xf>
    <xf numFmtId="0" fontId="1" fillId="13" borderId="0" xfId="11" applyFont="1" applyFill="1" applyAlignment="1">
      <alignment horizontal="right"/>
    </xf>
    <xf numFmtId="0" fontId="1" fillId="13" borderId="0" xfId="11" applyFont="1" applyFill="1" applyAlignment="1" applyProtection="1">
      <alignment horizontal="justify"/>
      <protection locked="0"/>
    </xf>
    <xf numFmtId="3" fontId="1" fillId="13" borderId="0" xfId="11" applyNumberFormat="1" applyFont="1" applyFill="1" applyAlignment="1" applyProtection="1">
      <alignment horizontal="center"/>
      <protection locked="0"/>
    </xf>
    <xf numFmtId="0" fontId="6" fillId="13" borderId="0" xfId="11" applyFill="1" applyProtection="1">
      <protection locked="0"/>
    </xf>
    <xf numFmtId="0" fontId="1" fillId="13" borderId="0" xfId="11" applyFont="1" applyFill="1" applyAlignment="1" applyProtection="1">
      <alignment horizontal="right"/>
      <protection locked="0"/>
    </xf>
    <xf numFmtId="0" fontId="51" fillId="13" borderId="34" xfId="11" applyFont="1" applyFill="1" applyBorder="1" applyAlignment="1">
      <alignment horizontal="left"/>
    </xf>
    <xf numFmtId="0" fontId="6" fillId="13" borderId="35" xfId="11" applyFill="1" applyBorder="1"/>
    <xf numFmtId="0" fontId="1" fillId="13" borderId="35" xfId="11" applyFont="1" applyFill="1" applyBorder="1" applyAlignment="1">
      <alignment horizontal="justify"/>
    </xf>
    <xf numFmtId="0" fontId="1" fillId="13" borderId="35" xfId="11" applyFont="1" applyFill="1" applyBorder="1"/>
    <xf numFmtId="0" fontId="6" fillId="13" borderId="0" xfId="11" applyFill="1" applyBorder="1"/>
    <xf numFmtId="0" fontId="6" fillId="13" borderId="36" xfId="11" applyFill="1" applyBorder="1"/>
    <xf numFmtId="0" fontId="51" fillId="13" borderId="0" xfId="11" applyFont="1" applyFill="1" applyBorder="1" applyAlignment="1">
      <alignment horizontal="left"/>
    </xf>
    <xf numFmtId="0" fontId="1" fillId="13" borderId="0" xfId="11" applyFont="1" applyFill="1" applyBorder="1"/>
    <xf numFmtId="0" fontId="6" fillId="13" borderId="27" xfId="11" applyFill="1" applyBorder="1"/>
    <xf numFmtId="0" fontId="51" fillId="13" borderId="28" xfId="11" applyFont="1" applyFill="1" applyBorder="1" applyAlignment="1">
      <alignment horizontal="left"/>
    </xf>
    <xf numFmtId="0" fontId="1" fillId="13" borderId="28" xfId="11" applyFont="1" applyFill="1" applyBorder="1"/>
    <xf numFmtId="0" fontId="50" fillId="13" borderId="0" xfId="11" applyFont="1" applyFill="1" applyAlignment="1">
      <alignment horizontal="left"/>
    </xf>
    <xf numFmtId="0" fontId="52" fillId="13" borderId="0" xfId="11" applyFont="1" applyFill="1"/>
    <xf numFmtId="0" fontId="2" fillId="13" borderId="0" xfId="11" applyFont="1" applyFill="1" applyBorder="1" applyAlignment="1" applyProtection="1">
      <alignment horizontal="right" vertical="top" wrapText="1"/>
      <protection locked="0"/>
    </xf>
    <xf numFmtId="0" fontId="1" fillId="13" borderId="0" xfId="11" applyFont="1" applyFill="1" applyAlignment="1" applyProtection="1">
      <alignment horizontal="left"/>
      <protection locked="0"/>
    </xf>
    <xf numFmtId="0" fontId="73" fillId="13" borderId="0" xfId="11" applyFont="1" applyFill="1" applyProtection="1">
      <protection locked="0"/>
    </xf>
    <xf numFmtId="0" fontId="6" fillId="13" borderId="0" xfId="11" applyFont="1" applyFill="1" applyProtection="1">
      <protection locked="0"/>
    </xf>
    <xf numFmtId="0" fontId="60" fillId="6" borderId="0" xfId="15" applyFill="1"/>
    <xf numFmtId="0" fontId="53" fillId="6" borderId="0" xfId="15" applyFont="1" applyFill="1"/>
    <xf numFmtId="0" fontId="5" fillId="6" borderId="12" xfId="15" applyFont="1" applyFill="1" applyBorder="1" applyAlignment="1">
      <alignment horizontal="center"/>
    </xf>
    <xf numFmtId="0" fontId="5" fillId="6" borderId="25" xfId="15" applyFont="1" applyFill="1" applyBorder="1" applyAlignment="1">
      <alignment horizontal="center"/>
    </xf>
    <xf numFmtId="0" fontId="60" fillId="6" borderId="2" xfId="15" applyFill="1" applyBorder="1"/>
    <xf numFmtId="0" fontId="42" fillId="6" borderId="12" xfId="15" quotePrefix="1" applyFont="1" applyFill="1" applyBorder="1" applyAlignment="1">
      <alignment horizontal="center"/>
    </xf>
    <xf numFmtId="0" fontId="74" fillId="0" borderId="0" xfId="15" applyFont="1"/>
    <xf numFmtId="0" fontId="42" fillId="6" borderId="25" xfId="15" applyFont="1" applyFill="1" applyBorder="1" applyAlignment="1">
      <alignment horizontal="center"/>
    </xf>
    <xf numFmtId="0" fontId="5" fillId="6" borderId="24" xfId="15" applyFont="1" applyFill="1" applyBorder="1"/>
    <xf numFmtId="0" fontId="5" fillId="6" borderId="25" xfId="15" applyFont="1" applyFill="1" applyBorder="1"/>
    <xf numFmtId="0" fontId="5" fillId="6" borderId="26" xfId="15" applyFont="1" applyFill="1" applyBorder="1"/>
    <xf numFmtId="0" fontId="60" fillId="6" borderId="34" xfId="15" applyFill="1" applyBorder="1"/>
    <xf numFmtId="0" fontId="60" fillId="6" borderId="35" xfId="15" applyFill="1" applyBorder="1"/>
    <xf numFmtId="0" fontId="60" fillId="6" borderId="30" xfId="15" applyFill="1" applyBorder="1"/>
    <xf numFmtId="0" fontId="60" fillId="6" borderId="36" xfId="15" applyFill="1" applyBorder="1"/>
    <xf numFmtId="0" fontId="60" fillId="6" borderId="0" xfId="15" applyFill="1" applyBorder="1"/>
    <xf numFmtId="0" fontId="60" fillId="6" borderId="31" xfId="15" applyFill="1" applyBorder="1"/>
    <xf numFmtId="0" fontId="27" fillId="6" borderId="36" xfId="15" applyNumberFormat="1" applyFont="1" applyFill="1" applyBorder="1" applyAlignment="1"/>
    <xf numFmtId="49" fontId="42" fillId="6" borderId="0" xfId="15" applyNumberFormat="1" applyFont="1" applyFill="1" applyBorder="1" applyAlignment="1">
      <alignment horizontal="justify"/>
    </xf>
    <xf numFmtId="49" fontId="60" fillId="6" borderId="0" xfId="15" applyNumberFormat="1" applyFill="1" applyBorder="1" applyAlignment="1">
      <alignment horizontal="justify"/>
    </xf>
    <xf numFmtId="0" fontId="27" fillId="6" borderId="0" xfId="15" applyNumberFormat="1" applyFont="1" applyFill="1" applyBorder="1" applyAlignment="1"/>
    <xf numFmtId="49" fontId="60" fillId="6" borderId="28" xfId="15" applyNumberFormat="1" applyFill="1" applyBorder="1" applyAlignment="1">
      <alignment horizontal="justify"/>
    </xf>
    <xf numFmtId="49" fontId="60" fillId="6" borderId="29" xfId="15" applyNumberFormat="1" applyFill="1" applyBorder="1" applyAlignment="1">
      <alignment horizontal="justify"/>
    </xf>
    <xf numFmtId="0" fontId="42" fillId="6" borderId="27" xfId="15" applyFont="1" applyFill="1" applyBorder="1"/>
    <xf numFmtId="0" fontId="42" fillId="6" borderId="28" xfId="15" applyFont="1" applyFill="1" applyBorder="1"/>
    <xf numFmtId="0" fontId="60" fillId="6" borderId="28" xfId="15" applyFill="1" applyBorder="1"/>
    <xf numFmtId="0" fontId="60" fillId="6" borderId="29" xfId="15" applyFill="1" applyBorder="1"/>
    <xf numFmtId="0" fontId="5" fillId="6" borderId="12" xfId="15" applyFont="1" applyFill="1" applyBorder="1"/>
    <xf numFmtId="0" fontId="43" fillId="6" borderId="24" xfId="15" applyFont="1" applyFill="1" applyBorder="1"/>
    <xf numFmtId="0" fontId="43" fillId="6" borderId="12" xfId="15" applyFont="1" applyFill="1" applyBorder="1" applyAlignment="1">
      <alignment horizontal="center"/>
    </xf>
    <xf numFmtId="0" fontId="5" fillId="6" borderId="0" xfId="15" applyFont="1" applyFill="1"/>
    <xf numFmtId="0" fontId="60" fillId="6" borderId="12" xfId="15" applyFill="1" applyBorder="1"/>
    <xf numFmtId="0" fontId="60" fillId="6" borderId="24" xfId="15" applyFill="1" applyBorder="1"/>
    <xf numFmtId="0" fontId="60" fillId="6" borderId="27" xfId="15" applyFill="1" applyBorder="1" applyAlignment="1">
      <alignment horizontal="center"/>
    </xf>
    <xf numFmtId="0" fontId="60" fillId="6" borderId="28" xfId="15" applyFill="1" applyBorder="1" applyAlignment="1">
      <alignment horizontal="center"/>
    </xf>
    <xf numFmtId="0" fontId="60" fillId="6" borderId="29" xfId="15" applyFill="1" applyBorder="1" applyAlignment="1">
      <alignment horizontal="center"/>
    </xf>
    <xf numFmtId="0" fontId="60" fillId="6" borderId="26" xfId="15" applyFill="1" applyBorder="1"/>
    <xf numFmtId="0" fontId="60" fillId="6" borderId="12" xfId="15" applyFill="1" applyBorder="1" applyAlignment="1">
      <alignment horizontal="center"/>
    </xf>
    <xf numFmtId="0" fontId="27" fillId="6" borderId="12" xfId="15" applyFont="1" applyFill="1" applyBorder="1" applyAlignment="1">
      <alignment horizontal="center"/>
    </xf>
    <xf numFmtId="0" fontId="43" fillId="6" borderId="0" xfId="15" applyFont="1" applyFill="1"/>
    <xf numFmtId="0" fontId="5" fillId="6" borderId="24" xfId="15" applyFont="1" applyFill="1" applyBorder="1" applyAlignment="1">
      <alignment horizontal="center"/>
    </xf>
    <xf numFmtId="0" fontId="53" fillId="6" borderId="24" xfId="15" applyFont="1" applyFill="1" applyBorder="1"/>
    <xf numFmtId="0" fontId="60" fillId="6" borderId="24" xfId="15" applyFill="1" applyBorder="1" applyAlignment="1">
      <alignment horizontal="center"/>
    </xf>
    <xf numFmtId="0" fontId="60" fillId="6" borderId="25" xfId="15" applyFill="1" applyBorder="1"/>
    <xf numFmtId="0" fontId="60" fillId="6" borderId="35" xfId="15" applyFill="1" applyBorder="1" applyAlignment="1">
      <alignment horizontal="right"/>
    </xf>
    <xf numFmtId="0" fontId="60" fillId="6" borderId="30" xfId="15" applyFill="1" applyBorder="1" applyAlignment="1">
      <alignment horizontal="center"/>
    </xf>
    <xf numFmtId="9" fontId="42" fillId="6" borderId="26" xfId="15" applyNumberFormat="1" applyFont="1" applyFill="1" applyBorder="1"/>
    <xf numFmtId="0" fontId="60" fillId="6" borderId="25" xfId="15" applyFill="1" applyBorder="1" applyAlignment="1">
      <alignment horizontal="right"/>
    </xf>
    <xf numFmtId="0" fontId="60" fillId="6" borderId="26" xfId="15" applyFill="1" applyBorder="1" applyAlignment="1">
      <alignment horizontal="center"/>
    </xf>
    <xf numFmtId="0" fontId="41" fillId="6" borderId="0" xfId="15" applyFont="1" applyFill="1" applyBorder="1"/>
    <xf numFmtId="0" fontId="60" fillId="6" borderId="0" xfId="15" applyFill="1" applyBorder="1" applyAlignment="1">
      <alignment horizontal="right"/>
    </xf>
    <xf numFmtId="0" fontId="60" fillId="6" borderId="31" xfId="15" applyFill="1" applyBorder="1" applyAlignment="1">
      <alignment horizontal="center"/>
    </xf>
    <xf numFmtId="8" fontId="60" fillId="6" borderId="36" xfId="15" applyNumberFormat="1" applyFill="1" applyBorder="1" applyAlignment="1">
      <alignment horizontal="left"/>
    </xf>
    <xf numFmtId="0" fontId="27" fillId="6" borderId="0" xfId="15" applyFont="1" applyFill="1" applyBorder="1"/>
    <xf numFmtId="43" fontId="60" fillId="6" borderId="24" xfId="7" applyFont="1" applyFill="1" applyBorder="1" applyAlignment="1">
      <alignment horizontal="left"/>
    </xf>
    <xf numFmtId="6" fontId="74" fillId="6" borderId="36" xfId="15" applyNumberFormat="1" applyFont="1" applyFill="1" applyBorder="1" applyAlignment="1">
      <alignment horizontal="left"/>
    </xf>
    <xf numFmtId="0" fontId="41" fillId="6" borderId="36" xfId="15" applyFont="1" applyFill="1" applyBorder="1"/>
    <xf numFmtId="0" fontId="74" fillId="6" borderId="0" xfId="15" applyFont="1" applyFill="1"/>
    <xf numFmtId="0" fontId="74" fillId="6" borderId="24" xfId="15" applyFont="1" applyFill="1" applyBorder="1"/>
    <xf numFmtId="6" fontId="74" fillId="6" borderId="24" xfId="15" applyNumberFormat="1" applyFont="1" applyFill="1" applyBorder="1" applyAlignment="1">
      <alignment horizontal="left"/>
    </xf>
    <xf numFmtId="0" fontId="41" fillId="6" borderId="27" xfId="15" applyFont="1" applyFill="1" applyBorder="1"/>
    <xf numFmtId="0" fontId="74" fillId="6" borderId="36" xfId="15" applyFont="1" applyFill="1" applyBorder="1"/>
    <xf numFmtId="0" fontId="27" fillId="6" borderId="25" xfId="15" applyFont="1" applyFill="1" applyBorder="1"/>
    <xf numFmtId="0" fontId="27" fillId="6" borderId="36" xfId="15" applyFont="1" applyFill="1" applyBorder="1"/>
    <xf numFmtId="0" fontId="60" fillId="6" borderId="27" xfId="15" applyFill="1" applyBorder="1"/>
    <xf numFmtId="0" fontId="27" fillId="6" borderId="0" xfId="15" applyFont="1" applyFill="1"/>
    <xf numFmtId="0" fontId="54" fillId="6" borderId="0" xfId="15" applyFont="1" applyFill="1"/>
    <xf numFmtId="0" fontId="44" fillId="6" borderId="0" xfId="15" applyFont="1" applyFill="1"/>
    <xf numFmtId="0" fontId="60" fillId="6" borderId="15" xfId="15" applyFill="1" applyBorder="1"/>
    <xf numFmtId="0" fontId="5" fillId="6" borderId="37" xfId="15" applyFont="1" applyFill="1" applyBorder="1"/>
    <xf numFmtId="0" fontId="60" fillId="6" borderId="37" xfId="15" applyFill="1" applyBorder="1"/>
    <xf numFmtId="0" fontId="60" fillId="6" borderId="38" xfId="15" applyFill="1" applyBorder="1"/>
    <xf numFmtId="0" fontId="60" fillId="6" borderId="13" xfId="15" applyFill="1" applyBorder="1"/>
    <xf numFmtId="0" fontId="60" fillId="6" borderId="22" xfId="15" applyFill="1" applyBorder="1"/>
    <xf numFmtId="0" fontId="41" fillId="6" borderId="13" xfId="15" applyFont="1" applyFill="1" applyBorder="1" applyAlignment="1">
      <alignment horizontal="right"/>
    </xf>
    <xf numFmtId="0" fontId="41" fillId="6" borderId="13" xfId="15" applyFont="1" applyFill="1" applyBorder="1"/>
    <xf numFmtId="0" fontId="41" fillId="6" borderId="22" xfId="15" applyFont="1" applyFill="1" applyBorder="1"/>
    <xf numFmtId="0" fontId="55" fillId="6" borderId="13" xfId="15" applyFont="1" applyFill="1" applyBorder="1" applyAlignment="1">
      <alignment horizontal="right"/>
    </xf>
    <xf numFmtId="0" fontId="55" fillId="6" borderId="0" xfId="15" applyFont="1" applyFill="1" applyBorder="1"/>
    <xf numFmtId="0" fontId="43" fillId="6" borderId="0" xfId="15" applyFont="1" applyFill="1" applyBorder="1" applyAlignment="1">
      <alignment horizontal="right"/>
    </xf>
    <xf numFmtId="0" fontId="60" fillId="6" borderId="14" xfId="15" applyFill="1" applyBorder="1"/>
    <xf numFmtId="0" fontId="60" fillId="6" borderId="23" xfId="15" applyFill="1" applyBorder="1"/>
    <xf numFmtId="0" fontId="68" fillId="13" borderId="0" xfId="0" applyFont="1" applyFill="1" applyAlignment="1">
      <alignment horizontal="center"/>
    </xf>
    <xf numFmtId="0" fontId="31" fillId="16" borderId="0" xfId="14" applyFont="1" applyFill="1"/>
    <xf numFmtId="0" fontId="71" fillId="21" borderId="48" xfId="0" applyFont="1" applyFill="1" applyBorder="1" applyAlignment="1">
      <alignment horizontal="center"/>
    </xf>
    <xf numFmtId="0" fontId="71" fillId="21" borderId="49" xfId="0" applyFont="1" applyFill="1" applyBorder="1" applyAlignment="1">
      <alignment horizontal="center"/>
    </xf>
    <xf numFmtId="0" fontId="68" fillId="13" borderId="0" xfId="0" applyFont="1" applyFill="1" applyAlignment="1">
      <alignment horizontal="right"/>
    </xf>
    <xf numFmtId="0" fontId="68" fillId="13" borderId="0" xfId="0" applyFont="1" applyFill="1" applyBorder="1"/>
    <xf numFmtId="0" fontId="0" fillId="22" borderId="39" xfId="0" applyFill="1" applyBorder="1" applyAlignment="1">
      <alignment horizontal="center" vertical="center"/>
    </xf>
    <xf numFmtId="0" fontId="0" fillId="22" borderId="40" xfId="0" applyFill="1" applyBorder="1" applyAlignment="1">
      <alignment vertical="center"/>
    </xf>
    <xf numFmtId="0" fontId="2" fillId="22" borderId="39" xfId="0" applyFont="1" applyFill="1" applyBorder="1" applyAlignment="1">
      <alignment horizontal="center" vertical="center"/>
    </xf>
    <xf numFmtId="0" fontId="2" fillId="22" borderId="40" xfId="0" applyFont="1" applyFill="1" applyBorder="1" applyAlignment="1">
      <alignment vertical="center"/>
    </xf>
    <xf numFmtId="0" fontId="0" fillId="22" borderId="41" xfId="0" applyFill="1" applyBorder="1" applyAlignment="1">
      <alignment horizontal="center" vertical="center"/>
    </xf>
    <xf numFmtId="0" fontId="0" fillId="22" borderId="42" xfId="0" applyFill="1" applyBorder="1" applyAlignment="1">
      <alignment vertical="center"/>
    </xf>
    <xf numFmtId="0" fontId="0" fillId="22" borderId="43" xfId="0" applyFill="1" applyBorder="1" applyAlignment="1">
      <alignment horizontal="center" vertical="center"/>
    </xf>
    <xf numFmtId="0" fontId="0" fillId="22" borderId="44" xfId="0" applyFill="1" applyBorder="1" applyAlignment="1">
      <alignment vertical="center"/>
    </xf>
    <xf numFmtId="0" fontId="68" fillId="23" borderId="0" xfId="0" applyFont="1" applyFill="1"/>
    <xf numFmtId="0" fontId="68" fillId="23" borderId="0" xfId="1" applyFont="1" applyFill="1" applyAlignment="1">
      <alignment shrinkToFit="1"/>
    </xf>
    <xf numFmtId="0" fontId="68" fillId="24" borderId="0" xfId="0" applyFont="1" applyFill="1"/>
    <xf numFmtId="0" fontId="70" fillId="25" borderId="0" xfId="0" applyFont="1" applyFill="1" applyAlignment="1">
      <alignment horizontal="center"/>
    </xf>
    <xf numFmtId="0" fontId="71" fillId="26" borderId="0" xfId="0" applyFont="1" applyFill="1" applyAlignment="1">
      <alignment horizontal="center"/>
    </xf>
    <xf numFmtId="0" fontId="70" fillId="27" borderId="50" xfId="0" applyFont="1" applyFill="1" applyBorder="1" applyAlignment="1">
      <alignment horizontal="center"/>
    </xf>
    <xf numFmtId="0" fontId="68" fillId="28" borderId="0" xfId="0" applyFont="1" applyFill="1"/>
    <xf numFmtId="14" fontId="68" fillId="28" borderId="0" xfId="0" applyNumberFormat="1" applyFont="1" applyFill="1"/>
    <xf numFmtId="0" fontId="68" fillId="29" borderId="0" xfId="0" applyFont="1" applyFill="1"/>
    <xf numFmtId="0" fontId="71" fillId="13" borderId="0" xfId="0" applyFont="1" applyFill="1" applyAlignment="1">
      <alignment horizontal="right"/>
    </xf>
    <xf numFmtId="0" fontId="58" fillId="18" borderId="51" xfId="14" applyFont="1" applyFill="1" applyBorder="1" applyAlignment="1" applyProtection="1">
      <alignment horizontal="center" vertical="center"/>
      <protection hidden="1"/>
    </xf>
    <xf numFmtId="0" fontId="31" fillId="0" borderId="51" xfId="14" applyFont="1" applyFill="1" applyBorder="1" applyAlignment="1" applyProtection="1">
      <alignment horizontal="center" vertical="center"/>
      <protection locked="0"/>
    </xf>
    <xf numFmtId="14" fontId="31" fillId="0" borderId="52" xfId="14" applyNumberFormat="1" applyFont="1" applyFill="1" applyBorder="1" applyAlignment="1" applyProtection="1">
      <alignment horizontal="center" vertical="center"/>
      <protection locked="0"/>
    </xf>
    <xf numFmtId="0" fontId="31" fillId="0" borderId="52" xfId="14" applyFont="1" applyFill="1" applyBorder="1" applyAlignment="1" applyProtection="1">
      <alignment horizontal="center" vertical="center"/>
      <protection locked="0"/>
    </xf>
    <xf numFmtId="44" fontId="31" fillId="0" borderId="52" xfId="8" applyFont="1" applyFill="1" applyBorder="1" applyAlignment="1" applyProtection="1">
      <alignment horizontal="center" vertical="center"/>
      <protection locked="0"/>
    </xf>
    <xf numFmtId="44" fontId="31" fillId="0" borderId="53" xfId="8" applyFont="1" applyFill="1" applyBorder="1" applyAlignment="1" applyProtection="1">
      <alignment horizontal="center" vertical="center"/>
      <protection locked="0"/>
    </xf>
    <xf numFmtId="14" fontId="37" fillId="30" borderId="53" xfId="14" applyNumberFormat="1" applyFont="1" applyFill="1" applyBorder="1" applyAlignment="1" applyProtection="1">
      <alignment horizontal="center" vertical="center"/>
      <protection hidden="1"/>
    </xf>
    <xf numFmtId="0" fontId="68" fillId="31" borderId="12" xfId="0" applyFont="1" applyFill="1" applyBorder="1" applyAlignment="1" applyProtection="1">
      <alignment vertical="center"/>
      <protection locked="0"/>
    </xf>
    <xf numFmtId="43" fontId="68" fillId="31" borderId="12" xfId="3" applyFont="1" applyFill="1" applyBorder="1" applyAlignment="1" applyProtection="1">
      <alignment vertical="center"/>
      <protection locked="0"/>
    </xf>
    <xf numFmtId="0" fontId="68" fillId="17" borderId="50" xfId="0" applyFont="1" applyFill="1" applyBorder="1" applyAlignment="1" applyProtection="1">
      <alignment horizontal="center"/>
      <protection locked="0"/>
    </xf>
    <xf numFmtId="0" fontId="31" fillId="0" borderId="0" xfId="14" applyFont="1" applyProtection="1"/>
    <xf numFmtId="0" fontId="31" fillId="0" borderId="0" xfId="14" applyFont="1" applyFill="1" applyAlignment="1" applyProtection="1"/>
    <xf numFmtId="0" fontId="31" fillId="32" borderId="54" xfId="14" applyFont="1" applyFill="1" applyBorder="1" applyProtection="1"/>
    <xf numFmtId="0" fontId="31" fillId="32" borderId="55" xfId="14" applyFont="1" applyFill="1" applyBorder="1" applyProtection="1"/>
    <xf numFmtId="0" fontId="31" fillId="32" borderId="56" xfId="14" applyFont="1" applyFill="1" applyBorder="1" applyProtection="1"/>
    <xf numFmtId="15" fontId="30" fillId="0" borderId="0" xfId="14" applyNumberFormat="1" applyProtection="1"/>
    <xf numFmtId="0" fontId="30" fillId="0" borderId="0" xfId="14" applyProtection="1"/>
    <xf numFmtId="0" fontId="31" fillId="32" borderId="57" xfId="14" applyFont="1" applyFill="1" applyBorder="1" applyProtection="1"/>
    <xf numFmtId="0" fontId="31" fillId="32" borderId="0" xfId="14" applyFont="1" applyFill="1" applyBorder="1" applyProtection="1"/>
    <xf numFmtId="0" fontId="75" fillId="32" borderId="0" xfId="14" applyFont="1" applyFill="1" applyBorder="1" applyAlignment="1" applyProtection="1">
      <alignment vertical="center"/>
    </xf>
    <xf numFmtId="0" fontId="75" fillId="32" borderId="0" xfId="14" applyFont="1" applyFill="1" applyBorder="1" applyAlignment="1" applyProtection="1">
      <alignment horizontal="center" vertical="center"/>
    </xf>
    <xf numFmtId="0" fontId="31" fillId="32" borderId="58" xfId="14" applyFont="1" applyFill="1" applyBorder="1" applyProtection="1"/>
    <xf numFmtId="0" fontId="31" fillId="32" borderId="59" xfId="14" applyFont="1" applyFill="1" applyBorder="1" applyProtection="1"/>
    <xf numFmtId="0" fontId="31" fillId="32" borderId="60" xfId="14" applyFont="1" applyFill="1" applyBorder="1" applyProtection="1"/>
    <xf numFmtId="0" fontId="31" fillId="32" borderId="61" xfId="14" applyFont="1" applyFill="1" applyBorder="1" applyProtection="1"/>
    <xf numFmtId="0" fontId="32" fillId="13" borderId="0" xfId="14" applyFont="1" applyFill="1" applyProtection="1"/>
    <xf numFmtId="0" fontId="76" fillId="33" borderId="15" xfId="14" applyFont="1" applyFill="1" applyBorder="1" applyProtection="1"/>
    <xf numFmtId="0" fontId="77" fillId="33" borderId="37" xfId="14" applyFont="1" applyFill="1" applyBorder="1" applyProtection="1"/>
    <xf numFmtId="0" fontId="31" fillId="33" borderId="37" xfId="14" applyFont="1" applyFill="1" applyBorder="1" applyProtection="1"/>
    <xf numFmtId="0" fontId="76" fillId="33" borderId="37" xfId="14" applyFont="1" applyFill="1" applyBorder="1" applyProtection="1"/>
    <xf numFmtId="0" fontId="31" fillId="33" borderId="38" xfId="14" applyFont="1" applyFill="1" applyBorder="1" applyProtection="1"/>
    <xf numFmtId="0" fontId="76" fillId="33" borderId="13" xfId="14" applyFont="1" applyFill="1" applyBorder="1" applyProtection="1"/>
    <xf numFmtId="0" fontId="78" fillId="33" borderId="0" xfId="14" applyFont="1" applyFill="1" applyBorder="1" applyProtection="1"/>
    <xf numFmtId="0" fontId="33" fillId="0" borderId="62" xfId="14" applyFont="1" applyFill="1" applyBorder="1" applyAlignment="1" applyProtection="1">
      <alignment horizontal="center"/>
      <protection hidden="1"/>
    </xf>
    <xf numFmtId="171" fontId="33" fillId="0" borderId="62" xfId="14" applyNumberFormat="1" applyFont="1" applyFill="1" applyBorder="1" applyAlignment="1" applyProtection="1">
      <alignment horizontal="center"/>
      <protection hidden="1"/>
    </xf>
    <xf numFmtId="0" fontId="31" fillId="33" borderId="22" xfId="14" applyFont="1" applyFill="1" applyBorder="1" applyProtection="1"/>
    <xf numFmtId="0" fontId="31" fillId="33" borderId="0" xfId="14" applyFont="1" applyFill="1" applyBorder="1" applyProtection="1"/>
    <xf numFmtId="0" fontId="78" fillId="33" borderId="63" xfId="14" applyFont="1" applyFill="1" applyBorder="1" applyProtection="1"/>
    <xf numFmtId="0" fontId="78" fillId="33" borderId="64" xfId="14" applyFont="1" applyFill="1" applyBorder="1" applyProtection="1"/>
    <xf numFmtId="0" fontId="78" fillId="33" borderId="65" xfId="14" applyFont="1" applyFill="1" applyBorder="1" applyProtection="1"/>
    <xf numFmtId="0" fontId="78" fillId="33" borderId="66" xfId="14" applyFont="1" applyFill="1" applyBorder="1" applyAlignment="1" applyProtection="1"/>
    <xf numFmtId="0" fontId="78" fillId="33" borderId="0" xfId="14" applyFont="1" applyFill="1" applyBorder="1" applyAlignment="1" applyProtection="1"/>
    <xf numFmtId="0" fontId="31" fillId="33" borderId="65" xfId="14" applyFont="1" applyFill="1" applyBorder="1" applyProtection="1"/>
    <xf numFmtId="0" fontId="78" fillId="33" borderId="66" xfId="14" applyFont="1" applyFill="1" applyBorder="1" applyProtection="1"/>
    <xf numFmtId="0" fontId="78" fillId="33" borderId="67" xfId="14" applyFont="1" applyFill="1" applyBorder="1" applyProtection="1"/>
    <xf numFmtId="0" fontId="78" fillId="33" borderId="68" xfId="14" applyFont="1" applyFill="1" applyBorder="1" applyProtection="1"/>
    <xf numFmtId="0" fontId="78" fillId="33" borderId="68" xfId="14" applyFont="1" applyFill="1" applyBorder="1" applyAlignment="1" applyProtection="1">
      <alignment horizontal="center"/>
    </xf>
    <xf numFmtId="0" fontId="76" fillId="33" borderId="0" xfId="14" applyFont="1" applyFill="1" applyBorder="1" applyProtection="1"/>
    <xf numFmtId="0" fontId="78" fillId="33" borderId="0" xfId="14" applyFont="1" applyFill="1" applyBorder="1" applyAlignment="1" applyProtection="1">
      <alignment horizontal="center"/>
    </xf>
    <xf numFmtId="0" fontId="78" fillId="33" borderId="0" xfId="14" applyFont="1" applyFill="1" applyBorder="1" applyAlignment="1" applyProtection="1">
      <alignment horizontal="right"/>
    </xf>
    <xf numFmtId="0" fontId="33" fillId="0" borderId="69" xfId="14" applyFont="1" applyFill="1" applyBorder="1" applyAlignment="1" applyProtection="1">
      <alignment horizontal="center"/>
      <protection hidden="1"/>
    </xf>
    <xf numFmtId="0" fontId="76" fillId="33" borderId="14" xfId="14" applyFont="1" applyFill="1" applyBorder="1" applyProtection="1"/>
    <xf numFmtId="0" fontId="76" fillId="33" borderId="23" xfId="14" applyFont="1" applyFill="1" applyBorder="1" applyProtection="1"/>
    <xf numFmtId="0" fontId="31" fillId="33" borderId="23" xfId="14" applyFont="1" applyFill="1" applyBorder="1" applyProtection="1"/>
    <xf numFmtId="0" fontId="31" fillId="33" borderId="45" xfId="14" applyFont="1" applyFill="1" applyBorder="1" applyProtection="1"/>
    <xf numFmtId="0" fontId="34" fillId="34" borderId="34" xfId="14" applyFont="1" applyFill="1" applyBorder="1" applyProtection="1"/>
    <xf numFmtId="0" fontId="34" fillId="34" borderId="35" xfId="14" applyFont="1" applyFill="1" applyBorder="1" applyProtection="1"/>
    <xf numFmtId="0" fontId="31" fillId="34" borderId="35" xfId="14" applyFont="1" applyFill="1" applyBorder="1" applyProtection="1"/>
    <xf numFmtId="0" fontId="31" fillId="34" borderId="30" xfId="14" applyFont="1" applyFill="1" applyBorder="1" applyProtection="1"/>
    <xf numFmtId="0" fontId="34" fillId="34" borderId="36" xfId="14" applyFont="1" applyFill="1" applyBorder="1" applyProtection="1"/>
    <xf numFmtId="0" fontId="35" fillId="34" borderId="0" xfId="14" applyFont="1" applyFill="1" applyBorder="1" applyProtection="1"/>
    <xf numFmtId="0" fontId="31" fillId="34" borderId="0" xfId="14" applyFont="1" applyFill="1" applyBorder="1" applyProtection="1"/>
    <xf numFmtId="0" fontId="34" fillId="34" borderId="0" xfId="14" applyFont="1" applyFill="1" applyBorder="1" applyProtection="1"/>
    <xf numFmtId="0" fontId="31" fillId="34" borderId="31" xfId="14" applyFont="1" applyFill="1" applyBorder="1" applyProtection="1"/>
    <xf numFmtId="0" fontId="34" fillId="34" borderId="70" xfId="14" applyFont="1" applyFill="1" applyBorder="1" applyProtection="1"/>
    <xf numFmtId="0" fontId="33" fillId="34" borderId="0" xfId="14" applyFont="1" applyFill="1" applyBorder="1" applyProtection="1"/>
    <xf numFmtId="49" fontId="31" fillId="34" borderId="0" xfId="14" applyNumberFormat="1" applyFont="1" applyFill="1" applyBorder="1" applyProtection="1"/>
    <xf numFmtId="0" fontId="34" fillId="34" borderId="71" xfId="14" applyFont="1" applyFill="1" applyBorder="1" applyAlignment="1" applyProtection="1">
      <alignment horizontal="center"/>
    </xf>
    <xf numFmtId="0" fontId="31" fillId="34" borderId="0" xfId="14" applyFont="1" applyFill="1" applyBorder="1" applyAlignment="1" applyProtection="1">
      <alignment horizontal="center"/>
    </xf>
    <xf numFmtId="14" fontId="31" fillId="0" borderId="0" xfId="14" applyNumberFormat="1" applyFont="1" applyProtection="1"/>
    <xf numFmtId="0" fontId="31" fillId="0" borderId="0" xfId="14" applyFont="1" applyBorder="1" applyProtection="1"/>
    <xf numFmtId="0" fontId="34" fillId="34" borderId="27" xfId="14" applyFont="1" applyFill="1" applyBorder="1" applyProtection="1"/>
    <xf numFmtId="0" fontId="34" fillId="34" borderId="28" xfId="14" applyFont="1" applyFill="1" applyBorder="1" applyProtection="1"/>
    <xf numFmtId="0" fontId="33" fillId="34" borderId="28" xfId="14" applyFont="1" applyFill="1" applyBorder="1" applyProtection="1"/>
    <xf numFmtId="0" fontId="31" fillId="34" borderId="28" xfId="14" applyFont="1" applyFill="1" applyBorder="1" applyProtection="1"/>
    <xf numFmtId="0" fontId="31" fillId="34" borderId="29" xfId="14" applyFont="1" applyFill="1" applyBorder="1" applyProtection="1"/>
    <xf numFmtId="0" fontId="33" fillId="13" borderId="0" xfId="14" applyFont="1" applyFill="1" applyBorder="1" applyProtection="1"/>
    <xf numFmtId="0" fontId="33" fillId="13" borderId="0" xfId="14" applyFont="1" applyFill="1" applyProtection="1"/>
    <xf numFmtId="0" fontId="31" fillId="13" borderId="15" xfId="14" applyFont="1" applyFill="1" applyBorder="1" applyProtection="1"/>
    <xf numFmtId="0" fontId="31" fillId="13" borderId="37" xfId="14" applyFont="1" applyFill="1" applyBorder="1" applyProtection="1"/>
    <xf numFmtId="0" fontId="33" fillId="13" borderId="37" xfId="14" applyFont="1" applyFill="1" applyBorder="1" applyProtection="1"/>
    <xf numFmtId="0" fontId="31" fillId="13" borderId="38" xfId="14" applyFont="1" applyFill="1" applyBorder="1" applyProtection="1"/>
    <xf numFmtId="0" fontId="31" fillId="13" borderId="0" xfId="14" applyFont="1" applyFill="1" applyBorder="1" applyAlignment="1" applyProtection="1">
      <alignment horizontal="center"/>
    </xf>
    <xf numFmtId="0" fontId="34" fillId="13" borderId="0" xfId="14" applyFont="1" applyFill="1" applyAlignment="1" applyProtection="1">
      <alignment horizontal="right"/>
    </xf>
    <xf numFmtId="0" fontId="37" fillId="13" borderId="0" xfId="14" applyFont="1" applyFill="1" applyAlignment="1" applyProtection="1">
      <alignment vertical="center"/>
    </xf>
    <xf numFmtId="44" fontId="38" fillId="13" borderId="0" xfId="8" applyFont="1" applyFill="1" applyBorder="1" applyAlignment="1" applyProtection="1">
      <alignment vertical="center" wrapText="1"/>
    </xf>
    <xf numFmtId="44" fontId="38" fillId="13" borderId="0" xfId="8" applyFont="1" applyFill="1" applyBorder="1" applyAlignment="1" applyProtection="1">
      <alignment vertical="center"/>
    </xf>
    <xf numFmtId="44" fontId="38" fillId="13" borderId="0" xfId="8" applyFont="1" applyFill="1" applyBorder="1" applyAlignment="1" applyProtection="1">
      <alignment horizontal="center" vertical="center" wrapText="1"/>
    </xf>
    <xf numFmtId="0" fontId="31" fillId="13" borderId="45" xfId="14" applyFont="1" applyFill="1" applyBorder="1" applyProtection="1"/>
    <xf numFmtId="0" fontId="33" fillId="13" borderId="0" xfId="14" applyFont="1" applyFill="1" applyAlignment="1" applyProtection="1">
      <alignment horizontal="right"/>
    </xf>
    <xf numFmtId="0" fontId="79" fillId="31" borderId="12" xfId="0" applyFont="1" applyFill="1" applyBorder="1" applyAlignment="1" applyProtection="1">
      <alignment horizontal="center"/>
      <protection locked="0"/>
    </xf>
    <xf numFmtId="0" fontId="70" fillId="35" borderId="12" xfId="0" applyFont="1" applyFill="1" applyBorder="1" applyAlignment="1">
      <alignment horizontal="center"/>
    </xf>
    <xf numFmtId="0" fontId="70" fillId="26" borderId="12" xfId="0" applyFont="1" applyFill="1" applyBorder="1" applyAlignment="1">
      <alignment horizontal="center"/>
    </xf>
    <xf numFmtId="0" fontId="70" fillId="25" borderId="12" xfId="0" applyFont="1" applyFill="1" applyBorder="1" applyAlignment="1">
      <alignment horizontal="center"/>
    </xf>
    <xf numFmtId="43" fontId="70" fillId="35" borderId="12" xfId="3" applyFont="1" applyFill="1" applyBorder="1" applyAlignment="1">
      <alignment horizontal="center"/>
    </xf>
    <xf numFmtId="43" fontId="70" fillId="26" borderId="12" xfId="3" applyFont="1" applyFill="1" applyBorder="1" applyAlignment="1">
      <alignment horizontal="center"/>
    </xf>
    <xf numFmtId="43" fontId="70" fillId="25" borderId="12" xfId="3" applyFont="1" applyFill="1" applyBorder="1" applyAlignment="1">
      <alignment horizontal="center"/>
    </xf>
    <xf numFmtId="0" fontId="70" fillId="36" borderId="72" xfId="0" applyFont="1" applyFill="1" applyBorder="1" applyAlignment="1">
      <alignment horizontal="center"/>
    </xf>
    <xf numFmtId="0" fontId="71" fillId="18" borderId="0" xfId="0" applyFont="1" applyFill="1" applyAlignment="1">
      <alignment horizontal="center"/>
    </xf>
    <xf numFmtId="0" fontId="70" fillId="37" borderId="0" xfId="0" applyFont="1" applyFill="1" applyBorder="1" applyAlignment="1">
      <alignment horizontal="center"/>
    </xf>
    <xf numFmtId="0" fontId="2" fillId="22" borderId="0" xfId="0" applyFont="1" applyFill="1" applyBorder="1" applyAlignment="1">
      <alignment vertical="center"/>
    </xf>
    <xf numFmtId="0" fontId="0" fillId="22" borderId="0" xfId="0" applyFill="1" applyBorder="1" applyAlignment="1">
      <alignment vertical="center"/>
    </xf>
    <xf numFmtId="0" fontId="80" fillId="13" borderId="0" xfId="0" applyFont="1" applyFill="1" applyBorder="1" applyAlignment="1">
      <alignment horizontal="center"/>
    </xf>
    <xf numFmtId="0" fontId="68" fillId="38" borderId="0" xfId="0" applyFont="1" applyFill="1"/>
    <xf numFmtId="0" fontId="71" fillId="39" borderId="73" xfId="0" applyFont="1" applyFill="1" applyBorder="1" applyAlignment="1">
      <alignment vertical="center"/>
    </xf>
    <xf numFmtId="167" fontId="71" fillId="38" borderId="74" xfId="3" applyNumberFormat="1" applyFont="1" applyFill="1" applyBorder="1" applyAlignment="1">
      <alignment vertical="center"/>
    </xf>
    <xf numFmtId="167" fontId="71" fillId="38" borderId="75" xfId="3" applyNumberFormat="1" applyFont="1" applyFill="1" applyBorder="1" applyAlignment="1">
      <alignment vertical="center"/>
    </xf>
    <xf numFmtId="0" fontId="71" fillId="39" borderId="76" xfId="0" applyFont="1" applyFill="1" applyBorder="1" applyAlignment="1">
      <alignment vertical="center"/>
    </xf>
    <xf numFmtId="167" fontId="71" fillId="38" borderId="77" xfId="3" applyNumberFormat="1" applyFont="1" applyFill="1" applyBorder="1" applyAlignment="1">
      <alignment vertical="center"/>
    </xf>
    <xf numFmtId="167" fontId="71" fillId="38" borderId="78" xfId="3" applyNumberFormat="1" applyFont="1" applyFill="1" applyBorder="1" applyAlignment="1">
      <alignment vertical="center"/>
    </xf>
    <xf numFmtId="43" fontId="71" fillId="38" borderId="77" xfId="3" applyFont="1" applyFill="1" applyBorder="1" applyAlignment="1">
      <alignment horizontal="center" vertical="center"/>
    </xf>
    <xf numFmtId="43" fontId="71" fillId="38" borderId="78" xfId="3" applyFont="1" applyFill="1" applyBorder="1" applyAlignment="1">
      <alignment horizontal="center" vertical="center"/>
    </xf>
    <xf numFmtId="0" fontId="70" fillId="35" borderId="72" xfId="0" applyFont="1" applyFill="1" applyBorder="1" applyAlignment="1">
      <alignment horizontal="center" vertical="center"/>
    </xf>
    <xf numFmtId="0" fontId="71" fillId="40" borderId="49" xfId="0" applyFont="1" applyFill="1" applyBorder="1" applyAlignment="1">
      <alignment horizontal="center" vertical="center"/>
    </xf>
    <xf numFmtId="0" fontId="71" fillId="40" borderId="48" xfId="0" applyFont="1" applyFill="1" applyBorder="1" applyAlignment="1">
      <alignment horizontal="center" vertical="center"/>
    </xf>
    <xf numFmtId="0" fontId="71" fillId="41" borderId="73" xfId="0" applyFont="1" applyFill="1" applyBorder="1" applyAlignment="1">
      <alignment vertical="center"/>
    </xf>
    <xf numFmtId="167" fontId="71" fillId="42" borderId="74" xfId="3" applyNumberFormat="1" applyFont="1" applyFill="1" applyBorder="1" applyAlignment="1">
      <alignment vertical="center"/>
    </xf>
    <xf numFmtId="167" fontId="71" fillId="42" borderId="75" xfId="3" applyNumberFormat="1" applyFont="1" applyFill="1" applyBorder="1" applyAlignment="1">
      <alignment vertical="center"/>
    </xf>
    <xf numFmtId="0" fontId="71" fillId="41" borderId="76" xfId="0" applyFont="1" applyFill="1" applyBorder="1" applyAlignment="1">
      <alignment vertical="center"/>
    </xf>
    <xf numFmtId="167" fontId="71" fillId="42" borderId="77" xfId="3" applyNumberFormat="1" applyFont="1" applyFill="1" applyBorder="1" applyAlignment="1">
      <alignment vertical="center"/>
    </xf>
    <xf numFmtId="167" fontId="71" fillId="42" borderId="78" xfId="3" applyNumberFormat="1" applyFont="1" applyFill="1" applyBorder="1" applyAlignment="1">
      <alignment vertical="center"/>
    </xf>
    <xf numFmtId="43" fontId="71" fillId="42" borderId="77" xfId="3" applyFont="1" applyFill="1" applyBorder="1" applyAlignment="1">
      <alignment vertical="center"/>
    </xf>
    <xf numFmtId="43" fontId="71" fillId="42" borderId="78" xfId="3" applyFont="1" applyFill="1" applyBorder="1" applyAlignment="1">
      <alignment vertical="center"/>
    </xf>
    <xf numFmtId="0" fontId="71" fillId="18" borderId="73" xfId="0" applyFont="1" applyFill="1" applyBorder="1" applyAlignment="1">
      <alignment vertical="center"/>
    </xf>
    <xf numFmtId="167" fontId="71" fillId="43" borderId="74" xfId="3" applyNumberFormat="1" applyFont="1" applyFill="1" applyBorder="1" applyAlignment="1">
      <alignment vertical="center"/>
    </xf>
    <xf numFmtId="167" fontId="71" fillId="43" borderId="75" xfId="3" applyNumberFormat="1" applyFont="1" applyFill="1" applyBorder="1" applyAlignment="1">
      <alignment vertical="center"/>
    </xf>
    <xf numFmtId="0" fontId="71" fillId="18" borderId="76" xfId="0" applyFont="1" applyFill="1" applyBorder="1" applyAlignment="1">
      <alignment vertical="center"/>
    </xf>
    <xf numFmtId="167" fontId="71" fillId="43" borderId="77" xfId="3" applyNumberFormat="1" applyFont="1" applyFill="1" applyBorder="1" applyAlignment="1">
      <alignment vertical="center"/>
    </xf>
    <xf numFmtId="167" fontId="71" fillId="43" borderId="78" xfId="3" applyNumberFormat="1" applyFont="1" applyFill="1" applyBorder="1" applyAlignment="1">
      <alignment vertical="center"/>
    </xf>
    <xf numFmtId="43" fontId="71" fillId="43" borderId="77" xfId="3" applyFont="1" applyFill="1" applyBorder="1" applyAlignment="1">
      <alignment vertical="center"/>
    </xf>
    <xf numFmtId="43" fontId="71" fillId="43" borderId="78" xfId="3" applyFont="1" applyFill="1" applyBorder="1" applyAlignment="1">
      <alignment vertical="center"/>
    </xf>
    <xf numFmtId="0" fontId="71" fillId="26" borderId="49" xfId="0" applyFont="1" applyFill="1" applyBorder="1" applyAlignment="1">
      <alignment horizontal="center" vertical="center"/>
    </xf>
    <xf numFmtId="0" fontId="71" fillId="26" borderId="48" xfId="0" applyFont="1" applyFill="1" applyBorder="1" applyAlignment="1">
      <alignment horizontal="center" vertical="center"/>
    </xf>
    <xf numFmtId="0" fontId="70" fillId="44" borderId="50" xfId="0" applyFont="1" applyFill="1" applyBorder="1" applyAlignment="1">
      <alignment horizontal="center" vertical="center"/>
    </xf>
    <xf numFmtId="0" fontId="68" fillId="31" borderId="12" xfId="0" applyFont="1" applyFill="1" applyBorder="1" applyAlignment="1" applyProtection="1">
      <alignment horizontal="center" vertical="center"/>
      <protection locked="0"/>
    </xf>
    <xf numFmtId="0" fontId="66" fillId="13" borderId="0" xfId="10" applyFont="1" applyFill="1" applyBorder="1" applyAlignment="1">
      <alignment horizontal="center" vertical="center" wrapText="1"/>
    </xf>
    <xf numFmtId="0" fontId="66" fillId="13" borderId="0" xfId="10" applyFont="1" applyFill="1" applyBorder="1"/>
    <xf numFmtId="43" fontId="66" fillId="13" borderId="0" xfId="10" applyNumberFormat="1" applyFont="1" applyFill="1" applyBorder="1"/>
    <xf numFmtId="43" fontId="66" fillId="13" borderId="0" xfId="4" applyFont="1" applyFill="1" applyBorder="1"/>
    <xf numFmtId="164" fontId="66" fillId="13" borderId="0" xfId="19" quotePrefix="1" applyNumberFormat="1" applyFont="1" applyFill="1" applyBorder="1"/>
    <xf numFmtId="43" fontId="66" fillId="13" borderId="0" xfId="4" quotePrefix="1" applyFont="1" applyFill="1" applyBorder="1"/>
    <xf numFmtId="0" fontId="81" fillId="13" borderId="0" xfId="10" applyFont="1" applyFill="1" applyBorder="1"/>
    <xf numFmtId="43" fontId="66" fillId="0" borderId="0" xfId="10" applyNumberFormat="1" applyFont="1" applyBorder="1"/>
    <xf numFmtId="43" fontId="66" fillId="0" borderId="0" xfId="4" applyFont="1" applyBorder="1"/>
    <xf numFmtId="0" fontId="66" fillId="0" borderId="0" xfId="10" applyFont="1" applyBorder="1"/>
    <xf numFmtId="43" fontId="66" fillId="10" borderId="0" xfId="4" applyFont="1" applyFill="1" applyBorder="1"/>
    <xf numFmtId="43" fontId="66" fillId="11" borderId="0" xfId="4" applyFont="1" applyFill="1" applyBorder="1"/>
    <xf numFmtId="164" fontId="66" fillId="0" borderId="0" xfId="19" quotePrefix="1" applyNumberFormat="1" applyFont="1" applyBorder="1"/>
    <xf numFmtId="43" fontId="66" fillId="0" borderId="0" xfId="4" quotePrefix="1" applyFont="1" applyBorder="1"/>
    <xf numFmtId="43" fontId="66" fillId="10" borderId="0" xfId="4" quotePrefix="1" applyFont="1" applyFill="1" applyBorder="1"/>
    <xf numFmtId="0" fontId="66" fillId="0" borderId="0" xfId="10" applyFont="1"/>
    <xf numFmtId="0" fontId="81" fillId="0" borderId="0" xfId="10" applyFont="1" applyBorder="1"/>
    <xf numFmtId="0" fontId="81" fillId="0" borderId="0" xfId="10" applyFont="1"/>
    <xf numFmtId="0" fontId="2" fillId="28" borderId="0" xfId="10" applyFont="1" applyFill="1"/>
    <xf numFmtId="0" fontId="61" fillId="28" borderId="0" xfId="10" applyFont="1" applyFill="1"/>
    <xf numFmtId="43" fontId="62" fillId="28" borderId="0" xfId="10" applyNumberFormat="1" applyFont="1" applyFill="1"/>
    <xf numFmtId="43" fontId="2" fillId="28" borderId="0" xfId="10" applyNumberFormat="1" applyFont="1" applyFill="1" applyBorder="1"/>
    <xf numFmtId="43" fontId="2" fillId="28" borderId="0" xfId="4" applyFont="1" applyFill="1" applyBorder="1"/>
    <xf numFmtId="0" fontId="2" fillId="28" borderId="0" xfId="10" applyFont="1" applyFill="1" applyBorder="1"/>
    <xf numFmtId="164" fontId="2" fillId="28" borderId="0" xfId="19" quotePrefix="1" applyNumberFormat="1" applyFont="1" applyFill="1" applyBorder="1"/>
    <xf numFmtId="43" fontId="2" fillId="28" borderId="0" xfId="4" quotePrefix="1" applyFont="1" applyFill="1" applyBorder="1"/>
    <xf numFmtId="0" fontId="62" fillId="28" borderId="0" xfId="10" applyFont="1" applyFill="1"/>
    <xf numFmtId="43" fontId="61" fillId="28" borderId="0" xfId="1" applyNumberFormat="1" applyFont="1" applyFill="1"/>
    <xf numFmtId="0" fontId="61" fillId="28" borderId="0" xfId="1" applyFont="1" applyFill="1"/>
    <xf numFmtId="0" fontId="2" fillId="28" borderId="0" xfId="0" applyFont="1" applyFill="1"/>
    <xf numFmtId="43" fontId="2" fillId="28" borderId="0" xfId="0" applyNumberFormat="1" applyFont="1" applyFill="1"/>
    <xf numFmtId="0" fontId="61" fillId="28" borderId="0" xfId="0" applyFont="1" applyFill="1"/>
    <xf numFmtId="43" fontId="61" fillId="28" borderId="0" xfId="0" applyNumberFormat="1" applyFont="1" applyFill="1"/>
    <xf numFmtId="0" fontId="2" fillId="28" borderId="0" xfId="0" applyFont="1" applyFill="1" applyBorder="1"/>
    <xf numFmtId="10" fontId="2" fillId="28" borderId="0" xfId="20" applyNumberFormat="1" applyFont="1" applyFill="1" applyBorder="1"/>
    <xf numFmtId="43" fontId="2" fillId="28" borderId="0" xfId="3" applyFont="1" applyFill="1"/>
    <xf numFmtId="0" fontId="31" fillId="0" borderId="79" xfId="14" applyFont="1" applyFill="1" applyBorder="1" applyAlignment="1" applyProtection="1">
      <alignment horizontal="center" vertical="center"/>
    </xf>
    <xf numFmtId="0" fontId="82" fillId="0" borderId="0" xfId="14" applyFont="1" applyAlignment="1" applyProtection="1">
      <alignment vertical="center"/>
    </xf>
    <xf numFmtId="0" fontId="31" fillId="0" borderId="0" xfId="14" applyFont="1" applyAlignment="1" applyProtection="1"/>
    <xf numFmtId="0" fontId="82" fillId="0" borderId="0" xfId="14" applyFont="1" applyAlignment="1" applyProtection="1">
      <alignment horizontal="center" vertical="center"/>
    </xf>
    <xf numFmtId="0" fontId="31" fillId="33" borderId="15" xfId="14" applyFont="1" applyFill="1" applyBorder="1" applyProtection="1"/>
    <xf numFmtId="0" fontId="82" fillId="0" borderId="0" xfId="14" applyFont="1" applyAlignment="1" applyProtection="1">
      <alignment horizontal="center" vertical="center" wrapText="1"/>
    </xf>
    <xf numFmtId="0" fontId="68" fillId="23" borderId="0" xfId="0" applyFont="1" applyFill="1" applyProtection="1"/>
    <xf numFmtId="0" fontId="31" fillId="33" borderId="13" xfId="14" applyFont="1" applyFill="1" applyBorder="1" applyProtection="1"/>
    <xf numFmtId="0" fontId="83" fillId="33" borderId="0" xfId="14" applyFont="1" applyFill="1" applyBorder="1" applyAlignment="1" applyProtection="1">
      <alignment vertical="center"/>
    </xf>
    <xf numFmtId="0" fontId="31" fillId="33" borderId="0" xfId="14" applyFont="1" applyFill="1" applyBorder="1" applyAlignment="1" applyProtection="1">
      <alignment vertical="center"/>
    </xf>
    <xf numFmtId="0" fontId="31" fillId="33" borderId="22" xfId="14" applyFont="1" applyFill="1" applyBorder="1" applyAlignment="1" applyProtection="1">
      <alignment vertical="center"/>
    </xf>
    <xf numFmtId="0" fontId="31" fillId="0" borderId="0" xfId="14" applyFont="1" applyAlignment="1" applyProtection="1">
      <alignment horizontal="center"/>
    </xf>
    <xf numFmtId="0" fontId="31" fillId="0" borderId="0" xfId="14" applyFont="1" applyAlignment="1" applyProtection="1">
      <alignment horizontal="right"/>
    </xf>
    <xf numFmtId="14" fontId="31" fillId="0" borderId="0" xfId="14" applyNumberFormat="1" applyFont="1" applyAlignment="1" applyProtection="1">
      <alignment horizontal="center"/>
    </xf>
    <xf numFmtId="14" fontId="31" fillId="45" borderId="52" xfId="14" applyNumberFormat="1" applyFont="1" applyFill="1" applyBorder="1" applyAlignment="1" applyProtection="1">
      <alignment horizontal="center" vertical="center"/>
    </xf>
    <xf numFmtId="44" fontId="31" fillId="45" borderId="52" xfId="8" applyFont="1" applyFill="1" applyBorder="1" applyAlignment="1" applyProtection="1">
      <alignment horizontal="center" vertical="center"/>
    </xf>
    <xf numFmtId="0" fontId="31" fillId="0" borderId="0" xfId="14" applyNumberFormat="1" applyFont="1" applyAlignment="1" applyProtection="1">
      <alignment horizontal="center"/>
    </xf>
    <xf numFmtId="0" fontId="68" fillId="23" borderId="0" xfId="1" applyFont="1" applyFill="1" applyAlignment="1" applyProtection="1">
      <alignment shrinkToFit="1"/>
    </xf>
    <xf numFmtId="0" fontId="31" fillId="33" borderId="0" xfId="14" applyFont="1" applyFill="1" applyBorder="1" applyAlignment="1" applyProtection="1">
      <alignment horizontal="center" vertical="center"/>
    </xf>
    <xf numFmtId="0" fontId="84" fillId="33" borderId="0" xfId="14" applyFont="1" applyFill="1" applyBorder="1" applyAlignment="1" applyProtection="1">
      <alignment vertical="center"/>
    </xf>
    <xf numFmtId="0" fontId="31" fillId="33" borderId="14" xfId="14" applyFont="1" applyFill="1" applyBorder="1" applyProtection="1"/>
    <xf numFmtId="0" fontId="31" fillId="33" borderId="23" xfId="14" applyFont="1" applyFill="1" applyBorder="1" applyAlignment="1" applyProtection="1">
      <alignment vertical="center"/>
    </xf>
    <xf numFmtId="0" fontId="31" fillId="33" borderId="45" xfId="14" applyFont="1" applyFill="1" applyBorder="1" applyAlignment="1" applyProtection="1">
      <alignment vertical="center"/>
    </xf>
    <xf numFmtId="0" fontId="82" fillId="0" borderId="0" xfId="14" applyFont="1" applyProtection="1"/>
    <xf numFmtId="0" fontId="33" fillId="30" borderId="80" xfId="14" applyFont="1" applyFill="1" applyBorder="1" applyProtection="1"/>
    <xf numFmtId="0" fontId="33" fillId="30" borderId="81" xfId="14" applyFont="1" applyFill="1" applyBorder="1" applyProtection="1"/>
    <xf numFmtId="43" fontId="31" fillId="0" borderId="0" xfId="3" applyFont="1" applyProtection="1"/>
    <xf numFmtId="0" fontId="31" fillId="14" borderId="0" xfId="14" applyFont="1" applyFill="1" applyProtection="1"/>
    <xf numFmtId="43" fontId="31" fillId="14" borderId="0" xfId="3" applyFont="1" applyFill="1" applyProtection="1"/>
    <xf numFmtId="43" fontId="31" fillId="28" borderId="0" xfId="3" applyFont="1" applyFill="1" applyProtection="1"/>
    <xf numFmtId="0" fontId="68" fillId="13" borderId="0" xfId="0" applyFont="1" applyFill="1" applyProtection="1"/>
    <xf numFmtId="0" fontId="69" fillId="13" borderId="0" xfId="0" applyFont="1" applyFill="1" applyProtection="1"/>
    <xf numFmtId="0" fontId="0" fillId="22" borderId="46" xfId="0" applyFill="1" applyBorder="1" applyAlignment="1">
      <alignment horizontal="center" vertical="center"/>
    </xf>
    <xf numFmtId="0" fontId="0" fillId="22" borderId="47" xfId="0" applyFill="1" applyBorder="1" applyAlignment="1">
      <alignment vertical="center"/>
    </xf>
    <xf numFmtId="0" fontId="31" fillId="52" borderId="0" xfId="14" applyFont="1" applyFill="1" applyProtection="1"/>
    <xf numFmtId="0" fontId="68" fillId="52" borderId="0" xfId="0" applyFont="1" applyFill="1"/>
    <xf numFmtId="0" fontId="70" fillId="48" borderId="0" xfId="0" applyFont="1" applyFill="1" applyAlignment="1">
      <alignment horizontal="center"/>
    </xf>
    <xf numFmtId="0" fontId="71" fillId="18" borderId="0" xfId="0" applyFont="1" applyFill="1" applyAlignment="1">
      <alignment horizontal="center"/>
    </xf>
    <xf numFmtId="0" fontId="70" fillId="37" borderId="23" xfId="0" applyFont="1" applyFill="1" applyBorder="1" applyAlignment="1">
      <alignment horizontal="center"/>
    </xf>
    <xf numFmtId="0" fontId="70" fillId="27" borderId="82" xfId="0" applyFont="1" applyFill="1" applyBorder="1" applyAlignment="1">
      <alignment horizontal="center"/>
    </xf>
    <xf numFmtId="0" fontId="70" fillId="27" borderId="83" xfId="0" applyFont="1" applyFill="1" applyBorder="1" applyAlignment="1">
      <alignment horizontal="center"/>
    </xf>
    <xf numFmtId="0" fontId="79" fillId="42" borderId="84" xfId="0" applyFont="1" applyFill="1" applyBorder="1" applyAlignment="1">
      <alignment horizontal="center"/>
    </xf>
    <xf numFmtId="0" fontId="79" fillId="42" borderId="0" xfId="0" applyFont="1" applyFill="1" applyBorder="1" applyAlignment="1">
      <alignment horizontal="center"/>
    </xf>
    <xf numFmtId="0" fontId="71" fillId="49" borderId="82" xfId="0" applyFont="1" applyFill="1" applyBorder="1" applyAlignment="1">
      <alignment horizontal="center"/>
    </xf>
    <xf numFmtId="0" fontId="71" fillId="49" borderId="83" xfId="0" applyFont="1" applyFill="1" applyBorder="1" applyAlignment="1">
      <alignment horizontal="center"/>
    </xf>
    <xf numFmtId="0" fontId="70" fillId="50" borderId="0" xfId="0" applyFont="1" applyFill="1" applyAlignment="1">
      <alignment horizontal="center"/>
    </xf>
    <xf numFmtId="0" fontId="86" fillId="13" borderId="85" xfId="0" applyFont="1" applyFill="1" applyBorder="1" applyAlignment="1">
      <alignment horizontal="center" vertical="center" wrapText="1"/>
    </xf>
    <xf numFmtId="0" fontId="86" fillId="13" borderId="86" xfId="0" applyFont="1" applyFill="1" applyBorder="1" applyAlignment="1">
      <alignment horizontal="center" vertical="center" wrapText="1"/>
    </xf>
    <xf numFmtId="0" fontId="87" fillId="21" borderId="0" xfId="0" applyFont="1" applyFill="1" applyAlignment="1">
      <alignment horizontal="center"/>
    </xf>
    <xf numFmtId="0" fontId="71" fillId="13" borderId="35" xfId="0" applyFont="1" applyFill="1" applyBorder="1" applyAlignment="1">
      <alignment horizontal="center"/>
    </xf>
    <xf numFmtId="0" fontId="68" fillId="13" borderId="0" xfId="0" applyFont="1" applyFill="1" applyAlignment="1">
      <alignment horizontal="center"/>
    </xf>
    <xf numFmtId="0" fontId="71" fillId="14" borderId="12" xfId="0" applyFont="1" applyFill="1" applyBorder="1" applyAlignment="1">
      <alignment horizontal="center"/>
    </xf>
    <xf numFmtId="0" fontId="71" fillId="13" borderId="34" xfId="0" applyFont="1" applyFill="1" applyBorder="1" applyAlignment="1" applyProtection="1">
      <alignment horizontal="justify" vertical="center"/>
      <protection locked="0"/>
    </xf>
    <xf numFmtId="0" fontId="71" fillId="13" borderId="35" xfId="0" applyFont="1" applyFill="1" applyBorder="1" applyAlignment="1" applyProtection="1">
      <alignment horizontal="justify" vertical="center"/>
      <protection locked="0"/>
    </xf>
    <xf numFmtId="0" fontId="71" fillId="13" borderId="30" xfId="0" applyFont="1" applyFill="1" applyBorder="1" applyAlignment="1" applyProtection="1">
      <alignment horizontal="justify" vertical="center"/>
      <protection locked="0"/>
    </xf>
    <xf numFmtId="0" fontId="71" fillId="13" borderId="36" xfId="0" applyFont="1" applyFill="1" applyBorder="1" applyAlignment="1" applyProtection="1">
      <alignment horizontal="justify" vertical="center"/>
      <protection locked="0"/>
    </xf>
    <xf numFmtId="0" fontId="71" fillId="13" borderId="0" xfId="0" applyFont="1" applyFill="1" applyBorder="1" applyAlignment="1" applyProtection="1">
      <alignment horizontal="justify" vertical="center"/>
      <protection locked="0"/>
    </xf>
    <xf numFmtId="0" fontId="71" fillId="13" borderId="31" xfId="0" applyFont="1" applyFill="1" applyBorder="1" applyAlignment="1" applyProtection="1">
      <alignment horizontal="justify" vertical="center"/>
      <protection locked="0"/>
    </xf>
    <xf numFmtId="0" fontId="71" fillId="13" borderId="27" xfId="0" applyFont="1" applyFill="1" applyBorder="1" applyAlignment="1" applyProtection="1">
      <alignment horizontal="justify" vertical="center"/>
      <protection locked="0"/>
    </xf>
    <xf numFmtId="0" fontId="71" fillId="13" borderId="28" xfId="0" applyFont="1" applyFill="1" applyBorder="1" applyAlignment="1" applyProtection="1">
      <alignment horizontal="justify" vertical="center"/>
      <protection locked="0"/>
    </xf>
    <xf numFmtId="0" fontId="71" fillId="13" borderId="29" xfId="0" applyFont="1" applyFill="1" applyBorder="1" applyAlignment="1" applyProtection="1">
      <alignment horizontal="justify" vertical="center"/>
      <protection locked="0"/>
    </xf>
    <xf numFmtId="14" fontId="68" fillId="13" borderId="24" xfId="0" applyNumberFormat="1" applyFont="1" applyFill="1" applyBorder="1" applyAlignment="1">
      <alignment horizontal="center" vertical="center"/>
    </xf>
    <xf numFmtId="14" fontId="68" fillId="13" borderId="26" xfId="0" applyNumberFormat="1" applyFont="1" applyFill="1" applyBorder="1" applyAlignment="1">
      <alignment horizontal="center" vertical="center"/>
    </xf>
    <xf numFmtId="0" fontId="80" fillId="13" borderId="28" xfId="0" applyFont="1" applyFill="1" applyBorder="1" applyAlignment="1">
      <alignment horizontal="center"/>
    </xf>
    <xf numFmtId="0" fontId="85" fillId="46" borderId="0" xfId="0" applyFont="1" applyFill="1" applyBorder="1" applyAlignment="1">
      <alignment horizontal="center"/>
    </xf>
    <xf numFmtId="0" fontId="68" fillId="13" borderId="0" xfId="0" applyFont="1" applyFill="1" applyAlignment="1">
      <alignment horizontal="right"/>
    </xf>
    <xf numFmtId="0" fontId="85" fillId="47" borderId="0" xfId="0" applyFont="1" applyFill="1" applyBorder="1" applyAlignment="1">
      <alignment horizontal="center"/>
    </xf>
    <xf numFmtId="0" fontId="70" fillId="28" borderId="24" xfId="0" applyFont="1" applyFill="1" applyBorder="1" applyAlignment="1">
      <alignment horizontal="center"/>
    </xf>
    <xf numFmtId="0" fontId="70" fillId="28" borderId="26" xfId="0" applyFont="1" applyFill="1" applyBorder="1" applyAlignment="1">
      <alignment horizontal="center"/>
    </xf>
    <xf numFmtId="0" fontId="71" fillId="33" borderId="24" xfId="0" applyFont="1" applyFill="1" applyBorder="1" applyAlignment="1">
      <alignment horizontal="center"/>
    </xf>
    <xf numFmtId="0" fontId="71" fillId="33" borderId="26" xfId="0" applyFont="1" applyFill="1" applyBorder="1" applyAlignment="1">
      <alignment horizontal="center"/>
    </xf>
    <xf numFmtId="0" fontId="90" fillId="13" borderId="0" xfId="0" applyFont="1" applyFill="1" applyAlignment="1">
      <alignment horizontal="center"/>
    </xf>
    <xf numFmtId="0" fontId="80" fillId="13" borderId="0" xfId="0" applyFont="1" applyFill="1" applyAlignment="1">
      <alignment horizontal="center"/>
    </xf>
    <xf numFmtId="170" fontId="29" fillId="13" borderId="0" xfId="0" applyNumberFormat="1" applyFont="1" applyFill="1" applyAlignment="1">
      <alignment horizontal="right"/>
    </xf>
    <xf numFmtId="0" fontId="68" fillId="31" borderId="36" xfId="0" applyFont="1" applyFill="1" applyBorder="1" applyAlignment="1" applyProtection="1">
      <alignment horizontal="left" vertical="center"/>
      <protection locked="0"/>
    </xf>
    <xf numFmtId="0" fontId="68" fillId="31" borderId="31" xfId="0" applyFont="1" applyFill="1" applyBorder="1" applyAlignment="1" applyProtection="1">
      <alignment horizontal="left" vertical="center"/>
      <protection locked="0"/>
    </xf>
    <xf numFmtId="0" fontId="71" fillId="31" borderId="36" xfId="0" applyFont="1" applyFill="1" applyBorder="1" applyAlignment="1" applyProtection="1">
      <alignment horizontal="left" vertical="center"/>
    </xf>
    <xf numFmtId="0" fontId="71" fillId="31" borderId="31" xfId="0" applyFont="1" applyFill="1" applyBorder="1" applyAlignment="1" applyProtection="1">
      <alignment horizontal="left" vertical="center"/>
    </xf>
    <xf numFmtId="0" fontId="68" fillId="31" borderId="27" xfId="0" applyFont="1" applyFill="1" applyBorder="1" applyAlignment="1" applyProtection="1">
      <alignment horizontal="left" vertical="center"/>
      <protection locked="0"/>
    </xf>
    <xf numFmtId="0" fontId="68" fillId="31" borderId="29" xfId="0" applyFont="1" applyFill="1" applyBorder="1" applyAlignment="1" applyProtection="1">
      <alignment horizontal="left" vertical="center"/>
      <protection locked="0"/>
    </xf>
    <xf numFmtId="0" fontId="68" fillId="31" borderId="34" xfId="0" applyFont="1" applyFill="1" applyBorder="1" applyAlignment="1" applyProtection="1">
      <alignment horizontal="left" vertical="center"/>
      <protection locked="0"/>
    </xf>
    <xf numFmtId="0" fontId="68" fillId="31" borderId="30" xfId="0" applyFont="1" applyFill="1" applyBorder="1" applyAlignment="1" applyProtection="1">
      <alignment horizontal="left" vertical="center"/>
      <protection locked="0"/>
    </xf>
    <xf numFmtId="0" fontId="33" fillId="0" borderId="65" xfId="14" applyFont="1" applyFill="1" applyBorder="1" applyAlignment="1" applyProtection="1">
      <protection hidden="1"/>
    </xf>
    <xf numFmtId="0" fontId="33" fillId="0" borderId="66" xfId="14" applyFont="1" applyFill="1" applyBorder="1" applyAlignment="1" applyProtection="1">
      <protection hidden="1"/>
    </xf>
    <xf numFmtId="0" fontId="33" fillId="0" borderId="97" xfId="14" applyFont="1" applyFill="1" applyBorder="1" applyAlignment="1" applyProtection="1">
      <protection hidden="1"/>
    </xf>
    <xf numFmtId="0" fontId="75" fillId="32" borderId="0" xfId="14" applyFont="1" applyFill="1" applyBorder="1" applyAlignment="1" applyProtection="1">
      <alignment horizontal="center" vertical="center"/>
    </xf>
    <xf numFmtId="0" fontId="78" fillId="33" borderId="0" xfId="14" applyFont="1" applyFill="1" applyBorder="1" applyAlignment="1" applyProtection="1">
      <alignment horizontal="center"/>
    </xf>
    <xf numFmtId="0" fontId="33" fillId="0" borderId="98" xfId="14" applyFont="1" applyFill="1" applyBorder="1" applyAlignment="1" applyProtection="1">
      <alignment horizontal="center"/>
      <protection hidden="1"/>
    </xf>
    <xf numFmtId="0" fontId="33" fillId="0" borderId="100" xfId="14" applyFont="1" applyFill="1" applyBorder="1" applyAlignment="1" applyProtection="1">
      <alignment horizontal="center"/>
      <protection hidden="1"/>
    </xf>
    <xf numFmtId="15" fontId="33" fillId="0" borderId="98" xfId="14" applyNumberFormat="1" applyFont="1" applyFill="1" applyBorder="1" applyAlignment="1" applyProtection="1">
      <alignment horizontal="center"/>
      <protection hidden="1"/>
    </xf>
    <xf numFmtId="15" fontId="33" fillId="0" borderId="100" xfId="14" applyNumberFormat="1" applyFont="1" applyFill="1" applyBorder="1" applyAlignment="1" applyProtection="1">
      <alignment horizontal="center"/>
      <protection hidden="1"/>
    </xf>
    <xf numFmtId="0" fontId="33" fillId="0" borderId="65" xfId="14" applyFont="1" applyFill="1" applyBorder="1" applyAlignment="1" applyProtection="1">
      <alignment horizontal="center"/>
      <protection hidden="1"/>
    </xf>
    <xf numFmtId="0" fontId="33" fillId="0" borderId="97" xfId="14" applyFont="1" applyFill="1" applyBorder="1" applyAlignment="1" applyProtection="1">
      <alignment horizontal="center"/>
      <protection hidden="1"/>
    </xf>
    <xf numFmtId="0" fontId="33" fillId="0" borderId="66" xfId="14" applyFont="1" applyFill="1" applyBorder="1" applyAlignment="1" applyProtection="1">
      <alignment horizontal="center"/>
      <protection hidden="1"/>
    </xf>
    <xf numFmtId="44" fontId="33" fillId="0" borderId="98" xfId="8" applyFont="1" applyFill="1" applyBorder="1" applyAlignment="1" applyProtection="1">
      <alignment horizontal="center"/>
      <protection hidden="1"/>
    </xf>
    <xf numFmtId="44" fontId="33" fillId="0" borderId="99" xfId="8" applyFont="1" applyFill="1" applyBorder="1" applyAlignment="1" applyProtection="1">
      <alignment horizontal="center"/>
      <protection hidden="1"/>
    </xf>
    <xf numFmtId="44" fontId="33" fillId="0" borderId="100" xfId="8" applyFont="1" applyFill="1" applyBorder="1" applyAlignment="1" applyProtection="1">
      <alignment horizontal="center"/>
      <protection hidden="1"/>
    </xf>
    <xf numFmtId="0" fontId="33" fillId="0" borderId="101" xfId="14" applyFont="1" applyFill="1" applyBorder="1" applyAlignment="1" applyProtection="1">
      <protection hidden="1"/>
    </xf>
    <xf numFmtId="0" fontId="33" fillId="0" borderId="0" xfId="14" applyFont="1" applyFill="1" applyBorder="1" applyAlignment="1" applyProtection="1">
      <protection hidden="1"/>
    </xf>
    <xf numFmtId="0" fontId="33" fillId="0" borderId="102" xfId="14" applyFont="1" applyFill="1" applyBorder="1" applyAlignment="1" applyProtection="1">
      <protection hidden="1"/>
    </xf>
    <xf numFmtId="0" fontId="33" fillId="0" borderId="67" xfId="14" applyFont="1" applyFill="1" applyBorder="1" applyAlignment="1" applyProtection="1">
      <protection hidden="1"/>
    </xf>
    <xf numFmtId="0" fontId="33" fillId="0" borderId="63" xfId="14" applyFont="1" applyFill="1" applyBorder="1" applyAlignment="1" applyProtection="1">
      <protection hidden="1"/>
    </xf>
    <xf numFmtId="0" fontId="33" fillId="0" borderId="64" xfId="14" applyFont="1" applyFill="1" applyBorder="1" applyAlignment="1" applyProtection="1">
      <protection hidden="1"/>
    </xf>
    <xf numFmtId="0" fontId="33" fillId="0" borderId="67" xfId="14" applyFont="1" applyFill="1" applyBorder="1" applyAlignment="1" applyProtection="1">
      <alignment horizontal="center"/>
      <protection hidden="1"/>
    </xf>
    <xf numFmtId="0" fontId="33" fillId="0" borderId="63" xfId="14" applyFont="1" applyFill="1" applyBorder="1" applyAlignment="1" applyProtection="1">
      <alignment horizontal="center"/>
      <protection hidden="1"/>
    </xf>
    <xf numFmtId="0" fontId="33" fillId="0" borderId="64" xfId="14" applyFont="1" applyFill="1" applyBorder="1" applyAlignment="1" applyProtection="1">
      <alignment horizontal="center"/>
      <protection hidden="1"/>
    </xf>
    <xf numFmtId="0" fontId="78" fillId="33" borderId="65" xfId="14" applyFont="1" applyFill="1" applyBorder="1" applyAlignment="1" applyProtection="1">
      <alignment horizontal="center"/>
    </xf>
    <xf numFmtId="0" fontId="78" fillId="33" borderId="66" xfId="14" applyFont="1" applyFill="1" applyBorder="1" applyAlignment="1" applyProtection="1">
      <alignment horizontal="center"/>
    </xf>
    <xf numFmtId="49" fontId="33" fillId="0" borderId="98" xfId="14" applyNumberFormat="1" applyFont="1" applyFill="1" applyBorder="1" applyAlignment="1" applyProtection="1">
      <alignment horizontal="center"/>
      <protection hidden="1"/>
    </xf>
    <xf numFmtId="49" fontId="33" fillId="0" borderId="99" xfId="14" applyNumberFormat="1" applyFont="1" applyFill="1" applyBorder="1" applyAlignment="1" applyProtection="1">
      <alignment horizontal="center"/>
      <protection hidden="1"/>
    </xf>
    <xf numFmtId="49" fontId="33" fillId="0" borderId="100" xfId="14" applyNumberFormat="1" applyFont="1" applyFill="1" applyBorder="1" applyAlignment="1" applyProtection="1">
      <alignment horizontal="center"/>
      <protection hidden="1"/>
    </xf>
    <xf numFmtId="0" fontId="34" fillId="33" borderId="101" xfId="14" applyFont="1" applyFill="1" applyBorder="1" applyAlignment="1" applyProtection="1">
      <alignment horizontal="center"/>
    </xf>
    <xf numFmtId="0" fontId="34" fillId="33" borderId="0" xfId="14" applyFont="1" applyFill="1" applyBorder="1" applyAlignment="1" applyProtection="1">
      <alignment horizontal="center"/>
    </xf>
    <xf numFmtId="0" fontId="33" fillId="0" borderId="70" xfId="14" applyFont="1" applyFill="1" applyBorder="1" applyAlignment="1" applyProtection="1">
      <protection hidden="1"/>
    </xf>
    <xf numFmtId="0" fontId="33" fillId="0" borderId="87" xfId="14" applyFont="1" applyFill="1" applyBorder="1" applyAlignment="1" applyProtection="1">
      <protection hidden="1"/>
    </xf>
    <xf numFmtId="0" fontId="33" fillId="0" borderId="88" xfId="14" applyFont="1" applyFill="1" applyBorder="1" applyAlignment="1" applyProtection="1">
      <protection hidden="1"/>
    </xf>
    <xf numFmtId="0" fontId="78" fillId="33" borderId="97" xfId="14" applyFont="1" applyFill="1" applyBorder="1" applyAlignment="1" applyProtection="1">
      <alignment horizontal="center"/>
    </xf>
    <xf numFmtId="0" fontId="33" fillId="0" borderId="89" xfId="14" applyFont="1" applyFill="1" applyBorder="1" applyAlignment="1" applyProtection="1">
      <protection hidden="1"/>
    </xf>
    <xf numFmtId="0" fontId="33" fillId="0" borderId="90" xfId="14" applyFont="1" applyFill="1" applyBorder="1" applyAlignment="1" applyProtection="1">
      <protection hidden="1"/>
    </xf>
    <xf numFmtId="0" fontId="33" fillId="0" borderId="91" xfId="14" applyFont="1" applyFill="1" applyBorder="1" applyAlignment="1" applyProtection="1">
      <protection hidden="1"/>
    </xf>
    <xf numFmtId="0" fontId="33" fillId="0" borderId="92" xfId="14" applyFont="1" applyFill="1" applyBorder="1" applyAlignment="1" applyProtection="1">
      <protection hidden="1"/>
    </xf>
    <xf numFmtId="0" fontId="33" fillId="0" borderId="93" xfId="14" applyFont="1" applyFill="1" applyBorder="1" applyAlignment="1" applyProtection="1">
      <protection hidden="1"/>
    </xf>
    <xf numFmtId="0" fontId="33" fillId="0" borderId="94" xfId="14" applyFont="1" applyFill="1" applyBorder="1" applyAlignment="1" applyProtection="1">
      <alignment horizontal="center"/>
      <protection hidden="1"/>
    </xf>
    <xf numFmtId="0" fontId="33" fillId="0" borderId="95" xfId="14" applyFont="1" applyFill="1" applyBorder="1" applyAlignment="1" applyProtection="1">
      <alignment horizontal="center"/>
      <protection hidden="1"/>
    </xf>
    <xf numFmtId="0" fontId="33" fillId="0" borderId="96" xfId="14" applyFont="1" applyFill="1" applyBorder="1" applyAlignment="1" applyProtection="1">
      <alignment horizontal="center"/>
      <protection hidden="1"/>
    </xf>
    <xf numFmtId="0" fontId="34" fillId="34" borderId="70" xfId="14" applyFont="1" applyFill="1" applyBorder="1" applyAlignment="1" applyProtection="1">
      <alignment horizontal="center"/>
    </xf>
    <xf numFmtId="0" fontId="34" fillId="34" borderId="87" xfId="14" applyFont="1" applyFill="1" applyBorder="1" applyAlignment="1" applyProtection="1">
      <alignment horizontal="center"/>
    </xf>
    <xf numFmtId="49" fontId="33" fillId="0" borderId="91" xfId="14" applyNumberFormat="1" applyFont="1" applyFill="1" applyBorder="1" applyAlignment="1" applyProtection="1">
      <alignment horizontal="center"/>
      <protection hidden="1"/>
    </xf>
    <xf numFmtId="49" fontId="33" fillId="0" borderId="92" xfId="14" applyNumberFormat="1" applyFont="1" applyFill="1" applyBorder="1" applyAlignment="1" applyProtection="1">
      <alignment horizontal="center"/>
      <protection hidden="1"/>
    </xf>
    <xf numFmtId="49" fontId="33" fillId="0" borderId="93" xfId="14" applyNumberFormat="1" applyFont="1" applyFill="1" applyBorder="1" applyAlignment="1" applyProtection="1">
      <alignment horizontal="center"/>
      <protection hidden="1"/>
    </xf>
    <xf numFmtId="0" fontId="33" fillId="0" borderId="94" xfId="14" applyFont="1" applyFill="1" applyBorder="1" applyAlignment="1" applyProtection="1">
      <protection hidden="1"/>
    </xf>
    <xf numFmtId="0" fontId="33" fillId="0" borderId="95" xfId="14" applyFont="1" applyFill="1" applyBorder="1" applyAlignment="1" applyProtection="1">
      <protection hidden="1"/>
    </xf>
    <xf numFmtId="0" fontId="33" fillId="0" borderId="96" xfId="14" applyFont="1" applyFill="1" applyBorder="1" applyAlignment="1" applyProtection="1">
      <protection hidden="1"/>
    </xf>
    <xf numFmtId="0" fontId="33" fillId="0" borderId="93" xfId="14" applyFont="1" applyFill="1" applyBorder="1" applyAlignment="1" applyProtection="1">
      <alignment horizontal="center"/>
      <protection hidden="1"/>
    </xf>
    <xf numFmtId="0" fontId="33" fillId="0" borderId="34" xfId="14" applyFont="1" applyFill="1" applyBorder="1" applyAlignment="1" applyProtection="1">
      <alignment horizontal="center"/>
      <protection hidden="1"/>
    </xf>
    <xf numFmtId="0" fontId="33" fillId="0" borderId="30" xfId="14" applyFont="1" applyFill="1" applyBorder="1" applyAlignment="1" applyProtection="1">
      <alignment horizontal="center"/>
      <protection hidden="1"/>
    </xf>
    <xf numFmtId="0" fontId="33" fillId="13" borderId="24" xfId="14" applyFont="1" applyFill="1" applyBorder="1" applyAlignment="1" applyProtection="1">
      <alignment horizontal="center"/>
      <protection hidden="1"/>
    </xf>
    <xf numFmtId="0" fontId="33" fillId="13" borderId="26" xfId="14" applyFont="1" applyFill="1" applyBorder="1" applyAlignment="1" applyProtection="1">
      <alignment horizontal="center"/>
      <protection hidden="1"/>
    </xf>
    <xf numFmtId="0" fontId="36" fillId="13" borderId="0" xfId="14" applyFont="1" applyFill="1" applyAlignment="1" applyProtection="1">
      <alignment horizontal="center" vertical="center" wrapText="1"/>
    </xf>
    <xf numFmtId="0" fontId="33" fillId="0" borderId="36" xfId="14" applyFont="1" applyFill="1" applyBorder="1" applyAlignment="1" applyProtection="1">
      <alignment horizontal="center"/>
      <protection hidden="1"/>
    </xf>
    <xf numFmtId="0" fontId="33" fillId="0" borderId="31" xfId="14" applyFont="1" applyFill="1" applyBorder="1" applyAlignment="1" applyProtection="1">
      <alignment horizontal="center"/>
      <protection hidden="1"/>
    </xf>
    <xf numFmtId="44" fontId="33" fillId="0" borderId="36" xfId="8" applyFont="1" applyFill="1" applyBorder="1" applyAlignment="1" applyProtection="1">
      <alignment horizontal="center"/>
      <protection hidden="1"/>
    </xf>
    <xf numFmtId="44" fontId="33" fillId="0" borderId="31" xfId="8" applyFont="1" applyFill="1" applyBorder="1" applyAlignment="1" applyProtection="1">
      <alignment horizontal="center"/>
      <protection hidden="1"/>
    </xf>
    <xf numFmtId="15" fontId="33" fillId="13" borderId="24" xfId="14" applyNumberFormat="1" applyFont="1" applyFill="1" applyBorder="1" applyAlignment="1" applyProtection="1">
      <alignment horizontal="center"/>
      <protection hidden="1"/>
    </xf>
    <xf numFmtId="15" fontId="33" fillId="13" borderId="26" xfId="14" applyNumberFormat="1" applyFont="1" applyFill="1" applyBorder="1" applyAlignment="1" applyProtection="1">
      <alignment horizontal="center"/>
      <protection hidden="1"/>
    </xf>
    <xf numFmtId="0" fontId="33" fillId="13" borderId="24" xfId="14" applyFont="1" applyFill="1" applyBorder="1" applyAlignment="1" applyProtection="1">
      <alignment horizontal="center"/>
    </xf>
    <xf numFmtId="0" fontId="33" fillId="13" borderId="26" xfId="14" applyFont="1" applyFill="1" applyBorder="1" applyAlignment="1" applyProtection="1">
      <alignment horizontal="center"/>
    </xf>
    <xf numFmtId="0" fontId="36" fillId="13" borderId="24" xfId="14" applyFont="1" applyFill="1" applyBorder="1" applyAlignment="1" applyProtection="1">
      <alignment horizontal="center"/>
    </xf>
    <xf numFmtId="0" fontId="36" fillId="13" borderId="25" xfId="14" applyFont="1" applyFill="1" applyBorder="1" applyAlignment="1" applyProtection="1">
      <alignment horizontal="center"/>
    </xf>
    <xf numFmtId="0" fontId="36" fillId="13" borderId="26" xfId="14" applyFont="1" applyFill="1" applyBorder="1" applyAlignment="1" applyProtection="1">
      <alignment horizontal="center"/>
    </xf>
    <xf numFmtId="0" fontId="31" fillId="13" borderId="24" xfId="14" applyFont="1" applyFill="1" applyBorder="1" applyAlignment="1" applyProtection="1">
      <alignment horizontal="center"/>
    </xf>
    <xf numFmtId="0" fontId="31" fillId="13" borderId="25" xfId="14" applyFont="1" applyFill="1" applyBorder="1" applyAlignment="1" applyProtection="1">
      <alignment horizontal="center"/>
    </xf>
    <xf numFmtId="0" fontId="31" fillId="13" borderId="26" xfId="14" applyFont="1" applyFill="1" applyBorder="1" applyAlignment="1" applyProtection="1">
      <alignment horizontal="center"/>
    </xf>
    <xf numFmtId="0" fontId="88" fillId="17" borderId="36" xfId="14" applyFont="1" applyFill="1" applyBorder="1" applyAlignment="1" applyProtection="1">
      <alignment horizontal="center"/>
      <protection hidden="1"/>
    </xf>
    <xf numFmtId="0" fontId="88" fillId="17" borderId="31" xfId="14" applyFont="1" applyFill="1" applyBorder="1" applyAlignment="1" applyProtection="1">
      <alignment horizontal="center"/>
      <protection hidden="1"/>
    </xf>
    <xf numFmtId="44" fontId="88" fillId="17" borderId="27" xfId="8" applyFont="1" applyFill="1" applyBorder="1" applyAlignment="1" applyProtection="1">
      <alignment horizontal="center"/>
      <protection hidden="1"/>
    </xf>
    <xf numFmtId="44" fontId="88" fillId="17" borderId="29" xfId="8" applyFont="1" applyFill="1" applyBorder="1" applyAlignment="1" applyProtection="1">
      <alignment horizontal="center"/>
      <protection hidden="1"/>
    </xf>
    <xf numFmtId="0" fontId="36" fillId="13" borderId="0" xfId="14" applyFont="1" applyFill="1" applyAlignment="1" applyProtection="1">
      <alignment horizontal="center"/>
    </xf>
    <xf numFmtId="0" fontId="35" fillId="13" borderId="24" xfId="14" applyFont="1" applyFill="1" applyBorder="1" applyAlignment="1" applyProtection="1">
      <alignment horizontal="center"/>
    </xf>
    <xf numFmtId="0" fontId="35" fillId="13" borderId="25" xfId="14" applyFont="1" applyFill="1" applyBorder="1" applyAlignment="1" applyProtection="1">
      <alignment horizontal="center"/>
    </xf>
    <xf numFmtId="0" fontId="35" fillId="13" borderId="26" xfId="14" applyFont="1" applyFill="1" applyBorder="1" applyAlignment="1" applyProtection="1">
      <alignment horizontal="center"/>
    </xf>
    <xf numFmtId="0" fontId="14" fillId="12" borderId="15" xfId="0" applyFont="1" applyFill="1" applyBorder="1" applyAlignment="1">
      <alignment horizontal="center"/>
    </xf>
    <xf numFmtId="0" fontId="14" fillId="12" borderId="38" xfId="0" applyFont="1" applyFill="1" applyBorder="1" applyAlignment="1">
      <alignment horizontal="center"/>
    </xf>
    <xf numFmtId="0" fontId="12" fillId="0" borderId="0" xfId="0" applyFont="1" applyAlignment="1">
      <alignment horizontal="center"/>
    </xf>
    <xf numFmtId="0" fontId="21" fillId="0" borderId="28" xfId="0" applyFont="1" applyFill="1" applyBorder="1" applyAlignment="1">
      <alignment horizontal="center"/>
    </xf>
    <xf numFmtId="0" fontId="8" fillId="0" borderId="0" xfId="0" applyFont="1" applyAlignment="1">
      <alignment horizontal="center"/>
    </xf>
    <xf numFmtId="0" fontId="7" fillId="0" borderId="0" xfId="0" applyFont="1" applyAlignment="1">
      <alignment horizontal="center"/>
    </xf>
    <xf numFmtId="10" fontId="5" fillId="0" borderId="2" xfId="0" applyNumberFormat="1" applyFont="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5" borderId="1" xfId="0" applyFill="1" applyBorder="1" applyAlignment="1">
      <alignment horizontal="center"/>
    </xf>
    <xf numFmtId="0" fontId="12" fillId="0" borderId="0" xfId="10" applyFont="1" applyAlignment="1">
      <alignment horizontal="center"/>
    </xf>
    <xf numFmtId="0" fontId="14" fillId="12" borderId="15" xfId="10" applyFont="1" applyFill="1" applyBorder="1" applyAlignment="1">
      <alignment horizontal="center"/>
    </xf>
    <xf numFmtId="0" fontId="14" fillId="12" borderId="38" xfId="10" applyFont="1" applyFill="1" applyBorder="1" applyAlignment="1">
      <alignment horizontal="center"/>
    </xf>
    <xf numFmtId="0" fontId="2" fillId="13" borderId="0" xfId="10" applyFont="1" applyFill="1" applyBorder="1" applyAlignment="1">
      <alignment horizontal="center" vertical="center" wrapText="1"/>
    </xf>
    <xf numFmtId="0" fontId="66" fillId="13" borderId="0" xfId="10" applyFont="1" applyFill="1" applyBorder="1" applyAlignment="1">
      <alignment horizontal="center" vertical="center" wrapText="1"/>
    </xf>
    <xf numFmtId="0" fontId="11" fillId="7" borderId="24" xfId="10" applyFont="1" applyFill="1" applyBorder="1" applyAlignment="1">
      <alignment horizontal="center"/>
    </xf>
    <xf numFmtId="0" fontId="11" fillId="7" borderId="25" xfId="10" applyFont="1" applyFill="1" applyBorder="1" applyAlignment="1">
      <alignment horizontal="center"/>
    </xf>
    <xf numFmtId="0" fontId="11" fillId="7" borderId="26" xfId="10" applyFont="1" applyFill="1" applyBorder="1" applyAlignment="1">
      <alignment horizontal="center"/>
    </xf>
    <xf numFmtId="0" fontId="14" fillId="12" borderId="15" xfId="12" applyFont="1" applyFill="1" applyBorder="1" applyAlignment="1">
      <alignment horizontal="center"/>
    </xf>
    <xf numFmtId="0" fontId="14" fillId="12" borderId="38" xfId="12" applyFont="1" applyFill="1" applyBorder="1" applyAlignment="1">
      <alignment horizontal="center"/>
    </xf>
    <xf numFmtId="0" fontId="2" fillId="0" borderId="0" xfId="12" applyFont="1" applyBorder="1" applyAlignment="1">
      <alignment horizontal="center" vertical="center" wrapText="1"/>
    </xf>
    <xf numFmtId="0" fontId="24" fillId="0" borderId="0" xfId="12" applyFont="1" applyAlignment="1">
      <alignment horizontal="center"/>
    </xf>
    <xf numFmtId="0" fontId="12" fillId="0" borderId="0" xfId="12" applyFont="1" applyAlignment="1">
      <alignment horizontal="center"/>
    </xf>
    <xf numFmtId="0" fontId="11" fillId="12" borderId="15" xfId="1" applyFont="1" applyFill="1" applyBorder="1" applyAlignment="1">
      <alignment horizontal="center"/>
    </xf>
    <xf numFmtId="0" fontId="11" fillId="12" borderId="38" xfId="1" applyFont="1" applyFill="1" applyBorder="1" applyAlignment="1">
      <alignment horizontal="center"/>
    </xf>
    <xf numFmtId="0" fontId="2" fillId="0" borderId="0" xfId="1" applyFont="1" applyFill="1" applyBorder="1" applyAlignment="1">
      <alignment horizontal="center" vertical="center" wrapText="1"/>
    </xf>
    <xf numFmtId="0" fontId="26" fillId="0" borderId="0" xfId="1" applyFont="1" applyAlignment="1">
      <alignment horizontal="center"/>
    </xf>
    <xf numFmtId="0" fontId="18" fillId="0" borderId="12" xfId="1" applyFont="1" applyFill="1" applyBorder="1" applyAlignment="1">
      <alignment horizontal="center"/>
    </xf>
    <xf numFmtId="0" fontId="8" fillId="0" borderId="0" xfId="1" applyFont="1" applyAlignment="1">
      <alignment horizontal="center"/>
    </xf>
    <xf numFmtId="0" fontId="7" fillId="0" borderId="0" xfId="1" applyFont="1" applyAlignment="1">
      <alignment horizontal="center"/>
    </xf>
    <xf numFmtId="10" fontId="5" fillId="0" borderId="2" xfId="1" applyNumberFormat="1" applyFont="1" applyBorder="1" applyAlignment="1">
      <alignment horizontal="center" vertical="center"/>
    </xf>
    <xf numFmtId="0" fontId="0" fillId="0" borderId="32" xfId="1" applyFont="1" applyBorder="1" applyAlignment="1">
      <alignment horizontal="center" vertical="center"/>
    </xf>
    <xf numFmtId="0" fontId="0" fillId="0" borderId="3" xfId="1" applyFont="1" applyBorder="1" applyAlignment="1">
      <alignment horizontal="center" vertical="center"/>
    </xf>
    <xf numFmtId="0" fontId="0" fillId="5" borderId="1" xfId="1" applyFont="1" applyFill="1" applyBorder="1" applyAlignment="1">
      <alignment horizontal="center"/>
    </xf>
    <xf numFmtId="0" fontId="21" fillId="0" borderId="0" xfId="12" applyFont="1" applyBorder="1" applyAlignment="1">
      <alignment horizontal="center"/>
    </xf>
    <xf numFmtId="0" fontId="8" fillId="0" borderId="0" xfId="12" applyFont="1" applyAlignment="1">
      <alignment horizontal="center"/>
    </xf>
    <xf numFmtId="0" fontId="7" fillId="0" borderId="0" xfId="12" applyFont="1" applyAlignment="1">
      <alignment horizontal="center"/>
    </xf>
    <xf numFmtId="10" fontId="5" fillId="0" borderId="2" xfId="12" applyNumberFormat="1" applyFont="1" applyBorder="1" applyAlignment="1">
      <alignment horizontal="center" vertical="center"/>
    </xf>
    <xf numFmtId="0" fontId="1" fillId="0" borderId="32" xfId="12" applyBorder="1" applyAlignment="1">
      <alignment horizontal="center" vertical="center"/>
    </xf>
    <xf numFmtId="0" fontId="1" fillId="0" borderId="3" xfId="12" applyBorder="1" applyAlignment="1">
      <alignment horizontal="center" vertical="center"/>
    </xf>
    <xf numFmtId="0" fontId="1" fillId="5" borderId="1" xfId="12" applyFill="1" applyBorder="1" applyAlignment="1">
      <alignment horizontal="center"/>
    </xf>
    <xf numFmtId="0" fontId="21" fillId="0" borderId="0" xfId="10" applyFont="1" applyBorder="1" applyAlignment="1">
      <alignment horizontal="center"/>
    </xf>
    <xf numFmtId="0" fontId="8" fillId="0" borderId="0" xfId="10" applyFont="1" applyAlignment="1">
      <alignment horizontal="center"/>
    </xf>
    <xf numFmtId="0" fontId="7" fillId="0" borderId="0" xfId="10" applyFont="1" applyAlignment="1">
      <alignment horizontal="center"/>
    </xf>
    <xf numFmtId="10" fontId="5" fillId="0" borderId="2" xfId="10" applyNumberFormat="1" applyFont="1" applyBorder="1" applyAlignment="1">
      <alignment horizontal="center" vertical="center"/>
    </xf>
    <xf numFmtId="0" fontId="13" fillId="0" borderId="32" xfId="10" applyBorder="1" applyAlignment="1">
      <alignment horizontal="center" vertical="center"/>
    </xf>
    <xf numFmtId="0" fontId="13" fillId="0" borderId="3" xfId="10" applyBorder="1" applyAlignment="1">
      <alignment horizontal="center" vertical="center"/>
    </xf>
    <xf numFmtId="0" fontId="13" fillId="5" borderId="1" xfId="10" applyFill="1" applyBorder="1" applyAlignment="1">
      <alignment horizontal="center"/>
    </xf>
    <xf numFmtId="0" fontId="25" fillId="13" borderId="34" xfId="11" applyFont="1" applyFill="1" applyBorder="1" applyAlignment="1">
      <alignment horizontal="justify" vertical="top" wrapText="1"/>
    </xf>
    <xf numFmtId="0" fontId="6" fillId="13" borderId="35" xfId="11" applyFill="1" applyBorder="1" applyAlignment="1">
      <alignment vertical="top" wrapText="1"/>
    </xf>
    <xf numFmtId="0" fontId="6" fillId="13" borderId="0" xfId="11" applyFont="1" applyFill="1" applyAlignment="1">
      <alignment horizontal="left"/>
    </xf>
    <xf numFmtId="0" fontId="6" fillId="13" borderId="0" xfId="11" applyFill="1" applyAlignment="1">
      <alignment horizontal="center"/>
    </xf>
    <xf numFmtId="0" fontId="6" fillId="13" borderId="0" xfId="11" applyNumberFormat="1" applyFill="1" applyAlignment="1">
      <alignment horizontal="justify"/>
    </xf>
    <xf numFmtId="0" fontId="1" fillId="13" borderId="24" xfId="11" applyFont="1" applyFill="1" applyBorder="1" applyAlignment="1">
      <alignment horizontal="left" vertical="top" wrapText="1"/>
    </xf>
    <xf numFmtId="0" fontId="1" fillId="13" borderId="25" xfId="11" applyFont="1" applyFill="1" applyBorder="1" applyAlignment="1">
      <alignment horizontal="left" vertical="top" wrapText="1"/>
    </xf>
    <xf numFmtId="0" fontId="46" fillId="20" borderId="24" xfId="11" applyFont="1" applyFill="1" applyBorder="1" applyAlignment="1">
      <alignment horizontal="center" vertical="top" wrapText="1"/>
    </xf>
    <xf numFmtId="0" fontId="6" fillId="20" borderId="25" xfId="11" applyFill="1" applyBorder="1" applyAlignment="1">
      <alignment horizontal="center" vertical="top" wrapText="1"/>
    </xf>
    <xf numFmtId="0" fontId="25" fillId="13" borderId="36" xfId="11" applyFont="1" applyFill="1" applyBorder="1" applyAlignment="1">
      <alignment horizontal="justify" vertical="top" wrapText="1"/>
    </xf>
    <xf numFmtId="0" fontId="6" fillId="13" borderId="0" xfId="11" applyFill="1" applyBorder="1" applyAlignment="1">
      <alignment vertical="top" wrapText="1"/>
    </xf>
    <xf numFmtId="0" fontId="46" fillId="13" borderId="0" xfId="11" applyFont="1" applyFill="1" applyAlignment="1">
      <alignment horizontal="center"/>
    </xf>
    <xf numFmtId="0" fontId="25" fillId="13" borderId="32" xfId="11" applyFont="1" applyFill="1" applyBorder="1" applyAlignment="1">
      <alignment horizontal="center" vertical="top" wrapText="1"/>
    </xf>
    <xf numFmtId="0" fontId="25" fillId="13" borderId="3" xfId="11" applyFont="1" applyFill="1" applyBorder="1" applyAlignment="1">
      <alignment horizontal="center" vertical="top" wrapText="1"/>
    </xf>
    <xf numFmtId="0" fontId="25" fillId="13" borderId="27" xfId="11" applyFont="1" applyFill="1" applyBorder="1" applyAlignment="1">
      <alignment horizontal="justify" vertical="top" wrapText="1"/>
    </xf>
    <xf numFmtId="0" fontId="6" fillId="13" borderId="28" xfId="11" applyFill="1" applyBorder="1" applyAlignment="1">
      <alignment vertical="top" wrapText="1"/>
    </xf>
    <xf numFmtId="0" fontId="46" fillId="13" borderId="0" xfId="11" applyFont="1" applyFill="1" applyAlignment="1">
      <alignment horizontal="center" wrapText="1"/>
    </xf>
    <xf numFmtId="0" fontId="49" fillId="13" borderId="0" xfId="11" applyFont="1" applyFill="1" applyAlignment="1" applyProtection="1">
      <alignment horizontal="center"/>
      <protection locked="0"/>
    </xf>
    <xf numFmtId="0" fontId="1" fillId="13" borderId="0" xfId="11" applyFont="1" applyFill="1" applyAlignment="1" applyProtection="1">
      <alignment horizontal="justify"/>
      <protection locked="0"/>
    </xf>
    <xf numFmtId="0" fontId="45" fillId="13" borderId="0" xfId="11" applyFont="1" applyFill="1" applyAlignment="1">
      <alignment horizontal="justify"/>
    </xf>
    <xf numFmtId="0" fontId="1" fillId="13" borderId="0" xfId="11" applyFont="1" applyFill="1" applyAlignment="1">
      <alignment horizontal="justify"/>
    </xf>
    <xf numFmtId="0" fontId="5" fillId="6" borderId="24" xfId="15" applyFont="1" applyFill="1" applyBorder="1" applyAlignment="1">
      <alignment horizontal="center"/>
    </xf>
    <xf numFmtId="0" fontId="5" fillId="6" borderId="26" xfId="15" applyFont="1" applyFill="1" applyBorder="1" applyAlignment="1">
      <alignment horizontal="center"/>
    </xf>
    <xf numFmtId="0" fontId="5" fillId="6" borderId="25" xfId="15" applyFont="1" applyFill="1" applyBorder="1" applyAlignment="1">
      <alignment horizontal="center"/>
    </xf>
    <xf numFmtId="0" fontId="60" fillId="6" borderId="24" xfId="15" applyFill="1" applyBorder="1" applyAlignment="1"/>
    <xf numFmtId="0" fontId="60" fillId="6" borderId="25" xfId="15" applyFill="1" applyBorder="1" applyAlignment="1"/>
    <xf numFmtId="0" fontId="60" fillId="6" borderId="26" xfId="15" applyFill="1" applyBorder="1" applyAlignment="1"/>
    <xf numFmtId="0" fontId="27" fillId="6" borderId="34" xfId="15" applyNumberFormat="1" applyFont="1" applyFill="1" applyBorder="1" applyAlignment="1">
      <alignment horizontal="left"/>
    </xf>
    <xf numFmtId="0" fontId="27" fillId="6" borderId="35" xfId="15" applyNumberFormat="1" applyFont="1" applyFill="1" applyBorder="1" applyAlignment="1">
      <alignment horizontal="left"/>
    </xf>
    <xf numFmtId="0" fontId="27" fillId="6" borderId="30" xfId="15" applyNumberFormat="1" applyFont="1" applyFill="1" applyBorder="1" applyAlignment="1">
      <alignment horizontal="left"/>
    </xf>
    <xf numFmtId="0" fontId="27" fillId="6" borderId="36" xfId="15" applyNumberFormat="1" applyFont="1" applyFill="1" applyBorder="1" applyAlignment="1">
      <alignment horizontal="justify" vertical="top"/>
    </xf>
    <xf numFmtId="0" fontId="27" fillId="6" borderId="0" xfId="15" applyNumberFormat="1" applyFont="1" applyFill="1" applyBorder="1" applyAlignment="1">
      <alignment horizontal="justify" vertical="top"/>
    </xf>
    <xf numFmtId="0" fontId="27" fillId="6" borderId="31" xfId="15" applyNumberFormat="1" applyFont="1" applyFill="1" applyBorder="1" applyAlignment="1">
      <alignment horizontal="justify" vertical="top"/>
    </xf>
    <xf numFmtId="0" fontId="60" fillId="6" borderId="24" xfId="15" applyFill="1" applyBorder="1" applyAlignment="1">
      <alignment horizontal="center"/>
    </xf>
    <xf numFmtId="0" fontId="60" fillId="6" borderId="26" xfId="15" applyFill="1" applyBorder="1" applyAlignment="1">
      <alignment horizontal="center"/>
    </xf>
    <xf numFmtId="0" fontId="60" fillId="6" borderId="25" xfId="15" applyFill="1" applyBorder="1" applyAlignment="1">
      <alignment horizontal="center"/>
    </xf>
    <xf numFmtId="0" fontId="5" fillId="6" borderId="24" xfId="15" applyFont="1" applyFill="1" applyBorder="1" applyAlignment="1">
      <alignment horizontal="center" wrapText="1"/>
    </xf>
    <xf numFmtId="0" fontId="5" fillId="0" borderId="25" xfId="15" applyFont="1" applyBorder="1" applyAlignment="1">
      <alignment horizontal="center" wrapText="1"/>
    </xf>
    <xf numFmtId="0" fontId="5" fillId="0" borderId="26" xfId="15" applyFont="1" applyBorder="1" applyAlignment="1">
      <alignment horizontal="center" wrapText="1"/>
    </xf>
    <xf numFmtId="6" fontId="6" fillId="6" borderId="24" xfId="15" applyNumberFormat="1" applyFont="1" applyFill="1" applyBorder="1" applyAlignment="1">
      <alignment horizontal="left"/>
    </xf>
    <xf numFmtId="0" fontId="6" fillId="6" borderId="25" xfId="15" applyFont="1" applyFill="1" applyBorder="1" applyAlignment="1">
      <alignment horizontal="left"/>
    </xf>
    <xf numFmtId="0" fontId="6" fillId="6" borderId="26" xfId="15" applyFont="1" applyFill="1" applyBorder="1" applyAlignment="1">
      <alignment horizontal="left"/>
    </xf>
    <xf numFmtId="0" fontId="41" fillId="6" borderId="0" xfId="15" applyFont="1" applyFill="1" applyBorder="1" applyAlignment="1">
      <alignment horizontal="justify"/>
    </xf>
    <xf numFmtId="0" fontId="41" fillId="6" borderId="22" xfId="15" applyFont="1" applyFill="1" applyBorder="1" applyAlignment="1">
      <alignment horizontal="justify"/>
    </xf>
    <xf numFmtId="0" fontId="43" fillId="6" borderId="34" xfId="15" applyFont="1" applyFill="1" applyBorder="1" applyAlignment="1">
      <alignment horizontal="center" vertical="center" wrapText="1"/>
    </xf>
    <xf numFmtId="0" fontId="43" fillId="6" borderId="35" xfId="15" applyFont="1" applyFill="1" applyBorder="1" applyAlignment="1">
      <alignment horizontal="center" vertical="center" wrapText="1"/>
    </xf>
    <xf numFmtId="0" fontId="43" fillId="6" borderId="30" xfId="15" applyFont="1" applyFill="1" applyBorder="1" applyAlignment="1">
      <alignment horizontal="center" vertical="center" wrapText="1"/>
    </xf>
    <xf numFmtId="0" fontId="43" fillId="6" borderId="36" xfId="15" applyFont="1" applyFill="1" applyBorder="1" applyAlignment="1">
      <alignment horizontal="center" vertical="center" wrapText="1"/>
    </xf>
    <xf numFmtId="0" fontId="43" fillId="6" borderId="0" xfId="15" applyFont="1" applyFill="1" applyBorder="1" applyAlignment="1">
      <alignment horizontal="center" vertical="center" wrapText="1"/>
    </xf>
    <xf numFmtId="0" fontId="43" fillId="6" borderId="31" xfId="15" applyFont="1" applyFill="1" applyBorder="1" applyAlignment="1">
      <alignment horizontal="center" vertical="center" wrapText="1"/>
    </xf>
    <xf numFmtId="0" fontId="43" fillId="6" borderId="27" xfId="15" applyFont="1" applyFill="1" applyBorder="1" applyAlignment="1">
      <alignment horizontal="center" vertical="center" wrapText="1"/>
    </xf>
    <xf numFmtId="0" fontId="43" fillId="6" borderId="28" xfId="15" applyFont="1" applyFill="1" applyBorder="1" applyAlignment="1">
      <alignment horizontal="center" vertical="center" wrapText="1"/>
    </xf>
    <xf numFmtId="0" fontId="43" fillId="6" borderId="29" xfId="15" applyFont="1" applyFill="1" applyBorder="1" applyAlignment="1">
      <alignment horizontal="center" vertical="center" wrapText="1"/>
    </xf>
    <xf numFmtId="0" fontId="42" fillId="6" borderId="34" xfId="15" applyFont="1" applyFill="1" applyBorder="1" applyAlignment="1">
      <alignment horizontal="center"/>
    </xf>
    <xf numFmtId="0" fontId="30" fillId="0" borderId="35" xfId="14" applyBorder="1"/>
    <xf numFmtId="0" fontId="30" fillId="0" borderId="30" xfId="14" applyBorder="1"/>
    <xf numFmtId="0" fontId="30" fillId="0" borderId="36" xfId="14" applyBorder="1"/>
    <xf numFmtId="0" fontId="30" fillId="0" borderId="0" xfId="14"/>
    <xf numFmtId="0" fontId="30" fillId="0" borderId="31" xfId="14" applyBorder="1"/>
    <xf numFmtId="0" fontId="41" fillId="6" borderId="0" xfId="15" applyFont="1" applyFill="1" applyBorder="1" applyAlignment="1">
      <alignment horizontal="left"/>
    </xf>
    <xf numFmtId="0" fontId="41" fillId="6" borderId="22" xfId="15" applyFont="1" applyFill="1" applyBorder="1" applyAlignment="1">
      <alignment horizontal="left"/>
    </xf>
    <xf numFmtId="0" fontId="56" fillId="6" borderId="23" xfId="15" applyFont="1" applyFill="1" applyBorder="1" applyAlignment="1">
      <alignment horizontal="center"/>
    </xf>
    <xf numFmtId="0" fontId="56" fillId="6" borderId="45" xfId="15" applyFont="1" applyFill="1" applyBorder="1" applyAlignment="1">
      <alignment horizontal="center"/>
    </xf>
    <xf numFmtId="44" fontId="43" fillId="6" borderId="0" xfId="8" applyFont="1" applyFill="1" applyBorder="1" applyAlignment="1">
      <alignment horizontal="left"/>
    </xf>
    <xf numFmtId="0" fontId="33" fillId="53" borderId="0" xfId="14" applyFont="1" applyFill="1" applyAlignment="1" applyProtection="1">
      <alignment horizontal="center"/>
    </xf>
    <xf numFmtId="0" fontId="89" fillId="51" borderId="103" xfId="14" applyFont="1" applyFill="1" applyBorder="1" applyAlignment="1" applyProtection="1">
      <alignment horizontal="center" vertical="center" wrapText="1"/>
    </xf>
    <xf numFmtId="0" fontId="89" fillId="51" borderId="104" xfId="14" applyFont="1" applyFill="1" applyBorder="1" applyAlignment="1" applyProtection="1">
      <alignment horizontal="center" vertical="center" wrapText="1"/>
    </xf>
    <xf numFmtId="0" fontId="89" fillId="51" borderId="105" xfId="14" applyFont="1" applyFill="1" applyBorder="1" applyAlignment="1" applyProtection="1">
      <alignment horizontal="center" vertical="center" wrapText="1"/>
    </xf>
    <xf numFmtId="0" fontId="89" fillId="51" borderId="0" xfId="14" applyFont="1" applyFill="1" applyBorder="1" applyAlignment="1" applyProtection="1">
      <alignment horizontal="center" vertical="center" wrapText="1"/>
    </xf>
    <xf numFmtId="0" fontId="89" fillId="51" borderId="106" xfId="14" applyFont="1" applyFill="1" applyBorder="1" applyAlignment="1" applyProtection="1">
      <alignment horizontal="center" vertical="center" wrapText="1"/>
    </xf>
    <xf numFmtId="0" fontId="89" fillId="51" borderId="107" xfId="14" applyFont="1" applyFill="1" applyBorder="1" applyAlignment="1" applyProtection="1">
      <alignment horizontal="center" vertical="center" wrapText="1"/>
    </xf>
    <xf numFmtId="43" fontId="33" fillId="18" borderId="108" xfId="14" applyNumberFormat="1" applyFont="1" applyFill="1" applyBorder="1" applyAlignment="1" applyProtection="1">
      <alignment horizontal="center" vertical="center" wrapText="1"/>
    </xf>
    <xf numFmtId="43" fontId="33" fillId="18" borderId="109" xfId="14" applyNumberFormat="1" applyFont="1" applyFill="1" applyBorder="1" applyAlignment="1" applyProtection="1">
      <alignment horizontal="center" vertical="center" wrapText="1"/>
    </xf>
    <xf numFmtId="0" fontId="33" fillId="30" borderId="110" xfId="14" applyFont="1" applyFill="1" applyBorder="1" applyAlignment="1" applyProtection="1">
      <alignment horizontal="left" vertical="center" wrapText="1"/>
    </xf>
    <xf numFmtId="0" fontId="33" fillId="30" borderId="111" xfId="14" applyFont="1" applyFill="1" applyBorder="1" applyAlignment="1" applyProtection="1">
      <alignment horizontal="left" vertical="center" wrapText="1"/>
    </xf>
  </cellXfs>
  <cellStyles count="22">
    <cellStyle name="=C:\WINNT\SYSTEM32\COMMAND.COM" xfId="1"/>
    <cellStyle name="Estilo 1" xfId="2"/>
    <cellStyle name="Millares" xfId="3" builtinId="3"/>
    <cellStyle name="Millares 2" xfId="4"/>
    <cellStyle name="Millares 2 2" xfId="5"/>
    <cellStyle name="Millares 3" xfId="6"/>
    <cellStyle name="Millares 3 2" xfId="7"/>
    <cellStyle name="Moneda 2" xfId="8"/>
    <cellStyle name="No-definido" xfId="9"/>
    <cellStyle name="Normal" xfId="0" builtinId="0"/>
    <cellStyle name="Normal 2" xfId="10"/>
    <cellStyle name="Normal 2 2" xfId="11"/>
    <cellStyle name="Normal 3" xfId="12"/>
    <cellStyle name="Normal 4" xfId="13"/>
    <cellStyle name="Normal 5" xfId="14"/>
    <cellStyle name="Normal 6" xfId="15"/>
    <cellStyle name="normal_Calculo de recargos v2" xfId="16"/>
    <cellStyle name="normal_Calculo de recargos v2 2" xfId="17"/>
    <cellStyle name="Normal_Libro1" xfId="18"/>
    <cellStyle name="Porcentaje 2" xfId="19"/>
    <cellStyle name="Porcentual" xfId="20" builtinId="5"/>
    <cellStyle name="Währung" xfId="21"/>
  </cellStyles>
  <dxfs count="5">
    <dxf>
      <fill>
        <patternFill>
          <bgColor rgb="FFFFC000"/>
        </patternFill>
      </fill>
      <border>
        <left style="thin">
          <color theme="0"/>
        </left>
        <right style="thin">
          <color theme="0"/>
        </right>
        <top style="thin">
          <color theme="0"/>
        </top>
        <bottom style="thin">
          <color theme="0"/>
        </bottom>
      </border>
    </dxf>
    <dxf>
      <font>
        <color theme="0"/>
      </font>
      <fill>
        <patternFill>
          <bgColor theme="7" tint="-0.24994659260841701"/>
        </patternFill>
      </fill>
      <border>
        <left style="thin">
          <color theme="0"/>
        </left>
        <right style="thin">
          <color theme="0"/>
        </right>
        <top style="thin">
          <color theme="0"/>
        </top>
        <bottom style="thin">
          <color theme="0"/>
        </bottom>
      </border>
    </dxf>
    <dxf>
      <font>
        <color theme="0"/>
      </font>
      <fill>
        <patternFill>
          <bgColor theme="4" tint="-0.24994659260841701"/>
        </patternFill>
      </fill>
      <border>
        <left style="thin">
          <color theme="0"/>
        </left>
        <right style="thin">
          <color theme="0"/>
        </right>
        <top style="thin">
          <color theme="0"/>
        </top>
        <bottom style="thin">
          <color theme="0"/>
        </bottom>
      </border>
    </dxf>
    <dxf>
      <fill>
        <patternFill>
          <bgColor rgb="FFFF000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wmf"/></Relationships>
</file>

<file path=xl/drawings/_rels/drawing15.xml.rels><?xml version="1.0" encoding="UTF-8" standalone="yes"?>
<Relationships xmlns="http://schemas.openxmlformats.org/package/2006/relationships"><Relationship Id="rId2" Type="http://schemas.openxmlformats.org/officeDocument/2006/relationships/image" Target="../media/image13.wmf"/><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32</xdr:row>
      <xdr:rowOff>57150</xdr:rowOff>
    </xdr:from>
    <xdr:to>
      <xdr:col>1</xdr:col>
      <xdr:colOff>876300</xdr:colOff>
      <xdr:row>36</xdr:row>
      <xdr:rowOff>142875</xdr:rowOff>
    </xdr:to>
    <xdr:pic>
      <xdr:nvPicPr>
        <xdr:cNvPr id="4156" name="il_fi" descr="http://www.segurosdeautos.info/images/aseguradoras/qualitasseguros.jpg"/>
        <xdr:cNvPicPr>
          <a:picLocks noChangeAspect="1" noChangeArrowheads="1"/>
        </xdr:cNvPicPr>
      </xdr:nvPicPr>
      <xdr:blipFill>
        <a:blip xmlns:r="http://schemas.openxmlformats.org/officeDocument/2006/relationships" r:embed="rId1" cstate="print"/>
        <a:srcRect/>
        <a:stretch>
          <a:fillRect/>
        </a:stretch>
      </xdr:blipFill>
      <xdr:spPr bwMode="auto">
        <a:xfrm>
          <a:off x="733425" y="5772150"/>
          <a:ext cx="523875" cy="742950"/>
        </a:xfrm>
        <a:prstGeom prst="rect">
          <a:avLst/>
        </a:prstGeom>
        <a:noFill/>
        <a:ln w="9525">
          <a:noFill/>
          <a:miter lim="800000"/>
          <a:headEnd/>
          <a:tailEnd/>
        </a:ln>
      </xdr:spPr>
    </xdr:pic>
    <xdr:clientData/>
  </xdr:twoCellAnchor>
  <xdr:twoCellAnchor editAs="oneCell">
    <xdr:from>
      <xdr:col>1</xdr:col>
      <xdr:colOff>314325</xdr:colOff>
      <xdr:row>39</xdr:row>
      <xdr:rowOff>142875</xdr:rowOff>
    </xdr:from>
    <xdr:to>
      <xdr:col>1</xdr:col>
      <xdr:colOff>857250</xdr:colOff>
      <xdr:row>42</xdr:row>
      <xdr:rowOff>152400</xdr:rowOff>
    </xdr:to>
    <xdr:pic>
      <xdr:nvPicPr>
        <xdr:cNvPr id="4157" name="il_fi" descr="http://www.laeconomia.com.mx/wp-content/uploads/axa-insurances.jpg"/>
        <xdr:cNvPicPr>
          <a:picLocks noChangeAspect="1" noChangeArrowheads="1"/>
        </xdr:cNvPicPr>
      </xdr:nvPicPr>
      <xdr:blipFill>
        <a:blip xmlns:r="http://schemas.openxmlformats.org/officeDocument/2006/relationships" r:embed="rId2" cstate="print"/>
        <a:srcRect/>
        <a:stretch>
          <a:fillRect/>
        </a:stretch>
      </xdr:blipFill>
      <xdr:spPr bwMode="auto">
        <a:xfrm>
          <a:off x="695325" y="7000875"/>
          <a:ext cx="542925" cy="504825"/>
        </a:xfrm>
        <a:prstGeom prst="rect">
          <a:avLst/>
        </a:prstGeom>
        <a:noFill/>
        <a:ln w="9525">
          <a:noFill/>
          <a:miter lim="800000"/>
          <a:headEnd/>
          <a:tailEnd/>
        </a:ln>
      </xdr:spPr>
    </xdr:pic>
    <xdr:clientData/>
  </xdr:twoCellAnchor>
  <xdr:twoCellAnchor editAs="oneCell">
    <xdr:from>
      <xdr:col>1</xdr:col>
      <xdr:colOff>247650</xdr:colOff>
      <xdr:row>47</xdr:row>
      <xdr:rowOff>133350</xdr:rowOff>
    </xdr:from>
    <xdr:to>
      <xdr:col>1</xdr:col>
      <xdr:colOff>904875</xdr:colOff>
      <xdr:row>49</xdr:row>
      <xdr:rowOff>66675</xdr:rowOff>
    </xdr:to>
    <xdr:pic>
      <xdr:nvPicPr>
        <xdr:cNvPr id="4158" name="il_fi" descr="http://www.taoss.com.mx/mundografico/wp-content/uploads/2009/07/GNP.jpg"/>
        <xdr:cNvPicPr>
          <a:picLocks noChangeAspect="1" noChangeArrowheads="1"/>
        </xdr:cNvPicPr>
      </xdr:nvPicPr>
      <xdr:blipFill>
        <a:blip xmlns:r="http://schemas.openxmlformats.org/officeDocument/2006/relationships" r:embed="rId3" cstate="print"/>
        <a:srcRect/>
        <a:stretch>
          <a:fillRect/>
        </a:stretch>
      </xdr:blipFill>
      <xdr:spPr bwMode="auto">
        <a:xfrm>
          <a:off x="628650" y="8315325"/>
          <a:ext cx="657225" cy="257175"/>
        </a:xfrm>
        <a:prstGeom prst="rect">
          <a:avLst/>
        </a:prstGeom>
        <a:noFill/>
        <a:ln w="9525">
          <a:noFill/>
          <a:miter lim="800000"/>
          <a:headEnd/>
          <a:tailEnd/>
        </a:ln>
      </xdr:spPr>
    </xdr:pic>
    <xdr:clientData/>
  </xdr:twoCellAnchor>
  <xdr:twoCellAnchor editAs="oneCell">
    <xdr:from>
      <xdr:col>1</xdr:col>
      <xdr:colOff>180975</xdr:colOff>
      <xdr:row>0</xdr:row>
      <xdr:rowOff>133350</xdr:rowOff>
    </xdr:from>
    <xdr:to>
      <xdr:col>2</xdr:col>
      <xdr:colOff>819150</xdr:colOff>
      <xdr:row>3</xdr:row>
      <xdr:rowOff>38100</xdr:rowOff>
    </xdr:to>
    <xdr:pic>
      <xdr:nvPicPr>
        <xdr:cNvPr id="4159" name="4 Imagen"/>
        <xdr:cNvPicPr>
          <a:picLocks noChangeAspect="1" noChangeArrowheads="1"/>
        </xdr:cNvPicPr>
      </xdr:nvPicPr>
      <xdr:blipFill>
        <a:blip xmlns:r="http://schemas.openxmlformats.org/officeDocument/2006/relationships" r:embed="rId4" cstate="print"/>
        <a:srcRect l="4951" t="90086" r="49179" b="3558"/>
        <a:stretch>
          <a:fillRect/>
        </a:stretch>
      </xdr:blipFill>
      <xdr:spPr bwMode="auto">
        <a:xfrm>
          <a:off x="561975" y="133350"/>
          <a:ext cx="1714500" cy="390525"/>
        </a:xfrm>
        <a:prstGeom prst="rect">
          <a:avLst/>
        </a:prstGeom>
        <a:noFill/>
        <a:ln w="9525">
          <a:noFill/>
          <a:miter lim="800000"/>
          <a:headEnd/>
          <a:tailEnd/>
        </a:ln>
      </xdr:spPr>
    </xdr:pic>
    <xdr:clientData/>
  </xdr:twoCellAnchor>
  <xdr:twoCellAnchor editAs="oneCell">
    <xdr:from>
      <xdr:col>7</xdr:col>
      <xdr:colOff>114300</xdr:colOff>
      <xdr:row>0</xdr:row>
      <xdr:rowOff>95250</xdr:rowOff>
    </xdr:from>
    <xdr:to>
      <xdr:col>7</xdr:col>
      <xdr:colOff>1019175</xdr:colOff>
      <xdr:row>3</xdr:row>
      <xdr:rowOff>95250</xdr:rowOff>
    </xdr:to>
    <xdr:pic>
      <xdr:nvPicPr>
        <xdr:cNvPr id="4160" name="Picture 18" descr="Aon: Leader in human resources, reinsurance &amp; risk"/>
        <xdr:cNvPicPr>
          <a:picLocks noChangeAspect="1" noChangeArrowheads="1"/>
        </xdr:cNvPicPr>
      </xdr:nvPicPr>
      <xdr:blipFill>
        <a:blip xmlns:r="http://schemas.openxmlformats.org/officeDocument/2006/relationships" r:embed="rId5" cstate="print"/>
        <a:srcRect/>
        <a:stretch>
          <a:fillRect/>
        </a:stretch>
      </xdr:blipFill>
      <xdr:spPr bwMode="auto">
        <a:xfrm>
          <a:off x="7743825" y="95250"/>
          <a:ext cx="904875" cy="4857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14</xdr:col>
      <xdr:colOff>495300</xdr:colOff>
      <xdr:row>3</xdr:row>
      <xdr:rowOff>57150</xdr:rowOff>
    </xdr:to>
    <xdr:pic>
      <xdr:nvPicPr>
        <xdr:cNvPr id="1639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28700" cy="5429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14</xdr:col>
      <xdr:colOff>495300</xdr:colOff>
      <xdr:row>3</xdr:row>
      <xdr:rowOff>57150</xdr:rowOff>
    </xdr:to>
    <xdr:pic>
      <xdr:nvPicPr>
        <xdr:cNvPr id="1741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28700" cy="5429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14</xdr:col>
      <xdr:colOff>495300</xdr:colOff>
      <xdr:row>3</xdr:row>
      <xdr:rowOff>57150</xdr:rowOff>
    </xdr:to>
    <xdr:pic>
      <xdr:nvPicPr>
        <xdr:cNvPr id="1844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28700" cy="5429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2</xdr:col>
      <xdr:colOff>685800</xdr:colOff>
      <xdr:row>4</xdr:row>
      <xdr:rowOff>47625</xdr:rowOff>
    </xdr:to>
    <xdr:pic>
      <xdr:nvPicPr>
        <xdr:cNvPr id="2253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9525" y="9525"/>
          <a:ext cx="3943350" cy="6858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276225</xdr:colOff>
      <xdr:row>0</xdr:row>
      <xdr:rowOff>0</xdr:rowOff>
    </xdr:from>
    <xdr:to>
      <xdr:col>0</xdr:col>
      <xdr:colOff>933450</xdr:colOff>
      <xdr:row>5</xdr:row>
      <xdr:rowOff>0</xdr:rowOff>
    </xdr:to>
    <xdr:pic>
      <xdr:nvPicPr>
        <xdr:cNvPr id="23567"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657225" cy="971550"/>
        </a:xfrm>
        <a:prstGeom prst="rect">
          <a:avLst/>
        </a:prstGeom>
        <a:noFill/>
        <a:ln w="9525">
          <a:noFill/>
          <a:miter lim="800000"/>
          <a:headEnd/>
          <a:tailEnd/>
        </a:ln>
      </xdr:spPr>
    </xdr:pic>
    <xdr:clientData/>
  </xdr:twoCellAnchor>
  <xdr:twoCellAnchor editAs="oneCell">
    <xdr:from>
      <xdr:col>0</xdr:col>
      <xdr:colOff>0</xdr:colOff>
      <xdr:row>63</xdr:row>
      <xdr:rowOff>0</xdr:rowOff>
    </xdr:from>
    <xdr:to>
      <xdr:col>0</xdr:col>
      <xdr:colOff>1219200</xdr:colOff>
      <xdr:row>69</xdr:row>
      <xdr:rowOff>47625</xdr:rowOff>
    </xdr:to>
    <xdr:pic>
      <xdr:nvPicPr>
        <xdr:cNvPr id="23568" name="4 Imagen"/>
        <xdr:cNvPicPr>
          <a:picLocks noChangeAspect="1" noChangeArrowheads="1"/>
        </xdr:cNvPicPr>
      </xdr:nvPicPr>
      <xdr:blipFill>
        <a:blip xmlns:r="http://schemas.openxmlformats.org/officeDocument/2006/relationships" r:embed="rId2" cstate="print"/>
        <a:srcRect/>
        <a:stretch>
          <a:fillRect/>
        </a:stretch>
      </xdr:blipFill>
      <xdr:spPr bwMode="auto">
        <a:xfrm>
          <a:off x="0" y="9220200"/>
          <a:ext cx="1219200" cy="10191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190500</xdr:colOff>
      <xdr:row>28</xdr:row>
      <xdr:rowOff>95250</xdr:rowOff>
    </xdr:from>
    <xdr:to>
      <xdr:col>16</xdr:col>
      <xdr:colOff>342900</xdr:colOff>
      <xdr:row>30</xdr:row>
      <xdr:rowOff>76200</xdr:rowOff>
    </xdr:to>
    <xdr:pic>
      <xdr:nvPicPr>
        <xdr:cNvPr id="24878" name="Picture 71"/>
        <xdr:cNvPicPr>
          <a:picLocks noChangeAspect="1" noChangeArrowheads="1"/>
        </xdr:cNvPicPr>
      </xdr:nvPicPr>
      <xdr:blipFill>
        <a:blip xmlns:r="http://schemas.openxmlformats.org/officeDocument/2006/relationships" r:embed="rId1" cstate="print"/>
        <a:srcRect/>
        <a:stretch>
          <a:fillRect/>
        </a:stretch>
      </xdr:blipFill>
      <xdr:spPr bwMode="auto">
        <a:xfrm>
          <a:off x="5867400" y="5600700"/>
          <a:ext cx="1352550" cy="361950"/>
        </a:xfrm>
        <a:prstGeom prst="rect">
          <a:avLst/>
        </a:prstGeom>
        <a:noFill/>
        <a:ln w="9525">
          <a:noFill/>
          <a:miter lim="800000"/>
          <a:headEnd/>
          <a:tailEnd/>
        </a:ln>
      </xdr:spPr>
    </xdr:pic>
    <xdr:clientData/>
  </xdr:twoCellAnchor>
  <xdr:twoCellAnchor>
    <xdr:from>
      <xdr:col>6</xdr:col>
      <xdr:colOff>361950</xdr:colOff>
      <xdr:row>0</xdr:row>
      <xdr:rowOff>85725</xdr:rowOff>
    </xdr:from>
    <xdr:to>
      <xdr:col>11</xdr:col>
      <xdr:colOff>85725</xdr:colOff>
      <xdr:row>2</xdr:row>
      <xdr:rowOff>57150</xdr:rowOff>
    </xdr:to>
    <xdr:sp macro="" textlink="">
      <xdr:nvSpPr>
        <xdr:cNvPr id="3" name="Text Box 2"/>
        <xdr:cNvSpPr txBox="1">
          <a:spLocks noChangeArrowheads="1"/>
        </xdr:cNvSpPr>
      </xdr:nvSpPr>
      <xdr:spPr bwMode="auto">
        <a:xfrm>
          <a:off x="2371725" y="85725"/>
          <a:ext cx="2838450" cy="352425"/>
        </a:xfrm>
        <a:prstGeom prst="rect">
          <a:avLst/>
        </a:prstGeom>
        <a:solidFill>
          <a:srgbClr val="FFFFFF"/>
        </a:solidFill>
        <a:ln>
          <a:noFill/>
        </a:ln>
        <a:extLst>
          <a:ext uri="{91240B29-F687-4F45-9708-019B960494DF}"/>
        </a:extLst>
      </xdr:spPr>
      <xdr:txBody>
        <a:bodyPr vertOverflow="clip" wrap="square" lIns="27432" tIns="18288" rIns="0" bIns="0" anchor="t" upright="1"/>
        <a:lstStyle/>
        <a:p>
          <a:pPr algn="l" rtl="0">
            <a:defRPr sz="1000"/>
          </a:pPr>
          <a:r>
            <a:rPr lang="es-MX" sz="700" b="0" i="0" u="none" strike="noStrike" baseline="0">
              <a:solidFill>
                <a:srgbClr val="000000"/>
              </a:solidFill>
              <a:latin typeface="Arial"/>
              <a:cs typeface="Arial"/>
            </a:rPr>
            <a:t>Av. Cerro de las Torres 395, Col. Campestre Churubusco C.P. 04200, México D.F. Tel. 5227 39 99 www.gnp.com.mx</a:t>
          </a:r>
          <a:endParaRPr lang="es-MX"/>
        </a:p>
      </xdr:txBody>
    </xdr:sp>
    <xdr:clientData/>
  </xdr:twoCellAnchor>
  <xdr:twoCellAnchor>
    <xdr:from>
      <xdr:col>1</xdr:col>
      <xdr:colOff>0</xdr:colOff>
      <xdr:row>3</xdr:row>
      <xdr:rowOff>85725</xdr:rowOff>
    </xdr:from>
    <xdr:to>
      <xdr:col>6</xdr:col>
      <xdr:colOff>381000</xdr:colOff>
      <xdr:row>5</xdr:row>
      <xdr:rowOff>19050</xdr:rowOff>
    </xdr:to>
    <xdr:sp macro="" textlink="">
      <xdr:nvSpPr>
        <xdr:cNvPr id="4" name="Text Box 3"/>
        <xdr:cNvSpPr txBox="1">
          <a:spLocks noChangeArrowheads="1"/>
        </xdr:cNvSpPr>
      </xdr:nvSpPr>
      <xdr:spPr bwMode="auto">
        <a:xfrm>
          <a:off x="123825" y="657225"/>
          <a:ext cx="2266950" cy="361950"/>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s-MX" sz="800" b="1" i="0" u="none" strike="noStrike" baseline="0">
              <a:solidFill>
                <a:srgbClr val="000000"/>
              </a:solidFill>
              <a:latin typeface="Arial"/>
              <a:cs typeface="Arial"/>
            </a:rPr>
            <a:t>CERTIFICADO INDIVIDUAL</a:t>
          </a:r>
        </a:p>
        <a:p>
          <a:pPr algn="l" rtl="0">
            <a:defRPr sz="1000"/>
          </a:pPr>
          <a:r>
            <a:rPr lang="es-MX" sz="800" b="1" i="0" u="none" strike="noStrike" baseline="0">
              <a:solidFill>
                <a:srgbClr val="000000"/>
              </a:solidFill>
              <a:latin typeface="Arial"/>
              <a:cs typeface="Arial"/>
            </a:rPr>
            <a:t>SEGURO SOBRE AUTOMÓVILES RESIDENTES</a:t>
          </a:r>
          <a:endParaRPr lang="es-MX"/>
        </a:p>
      </xdr:txBody>
    </xdr:sp>
    <xdr:clientData/>
  </xdr:twoCellAnchor>
  <xdr:twoCellAnchor editAs="oneCell">
    <xdr:from>
      <xdr:col>8</xdr:col>
      <xdr:colOff>190500</xdr:colOff>
      <xdr:row>6</xdr:row>
      <xdr:rowOff>142875</xdr:rowOff>
    </xdr:from>
    <xdr:to>
      <xdr:col>8</xdr:col>
      <xdr:colOff>266700</xdr:colOff>
      <xdr:row>7</xdr:row>
      <xdr:rowOff>152400</xdr:rowOff>
    </xdr:to>
    <xdr:sp macro="" textlink="">
      <xdr:nvSpPr>
        <xdr:cNvPr id="24881" name="Text Box 4"/>
        <xdr:cNvSpPr txBox="1">
          <a:spLocks noChangeArrowheads="1"/>
        </xdr:cNvSpPr>
      </xdr:nvSpPr>
      <xdr:spPr bwMode="auto">
        <a:xfrm>
          <a:off x="3390900" y="1333500"/>
          <a:ext cx="76200" cy="200025"/>
        </a:xfrm>
        <a:prstGeom prst="rect">
          <a:avLst/>
        </a:prstGeom>
        <a:noFill/>
        <a:ln w="9525">
          <a:noFill/>
          <a:miter lim="800000"/>
          <a:headEnd/>
          <a:tailEnd/>
        </a:ln>
      </xdr:spPr>
    </xdr:sp>
    <xdr:clientData/>
  </xdr:twoCellAnchor>
  <xdr:twoCellAnchor editAs="oneCell">
    <xdr:from>
      <xdr:col>8</xdr:col>
      <xdr:colOff>238125</xdr:colOff>
      <xdr:row>4</xdr:row>
      <xdr:rowOff>0</xdr:rowOff>
    </xdr:from>
    <xdr:to>
      <xdr:col>8</xdr:col>
      <xdr:colOff>581025</xdr:colOff>
      <xdr:row>4</xdr:row>
      <xdr:rowOff>123825</xdr:rowOff>
    </xdr:to>
    <xdr:sp macro="" textlink="">
      <xdr:nvSpPr>
        <xdr:cNvPr id="6" name="Text Box 5"/>
        <xdr:cNvSpPr txBox="1">
          <a:spLocks noChangeArrowheads="1"/>
        </xdr:cNvSpPr>
      </xdr:nvSpPr>
      <xdr:spPr bwMode="auto">
        <a:xfrm>
          <a:off x="3438525" y="762000"/>
          <a:ext cx="342900"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Oficina</a:t>
          </a:r>
          <a:endParaRPr lang="es-MX"/>
        </a:p>
      </xdr:txBody>
    </xdr:sp>
    <xdr:clientData/>
  </xdr:twoCellAnchor>
  <xdr:twoCellAnchor editAs="oneCell">
    <xdr:from>
      <xdr:col>9</xdr:col>
      <xdr:colOff>381000</xdr:colOff>
      <xdr:row>4</xdr:row>
      <xdr:rowOff>9525</xdr:rowOff>
    </xdr:from>
    <xdr:to>
      <xdr:col>9</xdr:col>
      <xdr:colOff>723900</xdr:colOff>
      <xdr:row>4</xdr:row>
      <xdr:rowOff>133350</xdr:rowOff>
    </xdr:to>
    <xdr:sp macro="" textlink="">
      <xdr:nvSpPr>
        <xdr:cNvPr id="7" name="Text Box 6"/>
        <xdr:cNvSpPr txBox="1">
          <a:spLocks noChangeArrowheads="1"/>
        </xdr:cNvSpPr>
      </xdr:nvSpPr>
      <xdr:spPr bwMode="auto">
        <a:xfrm>
          <a:off x="4429125" y="771525"/>
          <a:ext cx="342900"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Póliza</a:t>
          </a:r>
          <a:endParaRPr lang="es-MX"/>
        </a:p>
      </xdr:txBody>
    </xdr:sp>
    <xdr:clientData/>
  </xdr:twoCellAnchor>
  <xdr:twoCellAnchor>
    <xdr:from>
      <xdr:col>15</xdr:col>
      <xdr:colOff>104775</xdr:colOff>
      <xdr:row>6</xdr:row>
      <xdr:rowOff>38100</xdr:rowOff>
    </xdr:from>
    <xdr:to>
      <xdr:col>15</xdr:col>
      <xdr:colOff>200025</xdr:colOff>
      <xdr:row>7</xdr:row>
      <xdr:rowOff>0</xdr:rowOff>
    </xdr:to>
    <xdr:sp macro="" textlink="">
      <xdr:nvSpPr>
        <xdr:cNvPr id="24884" name="Rectangle 7"/>
        <xdr:cNvSpPr>
          <a:spLocks noChangeArrowheads="1"/>
        </xdr:cNvSpPr>
      </xdr:nvSpPr>
      <xdr:spPr bwMode="auto">
        <a:xfrm>
          <a:off x="6686550" y="1228725"/>
          <a:ext cx="95250" cy="152400"/>
        </a:xfrm>
        <a:prstGeom prst="rect">
          <a:avLst/>
        </a:prstGeom>
        <a:solidFill>
          <a:srgbClr val="FFFFFF"/>
        </a:solidFill>
        <a:ln w="9525">
          <a:solidFill>
            <a:srgbClr val="000000"/>
          </a:solidFill>
          <a:miter lim="800000"/>
          <a:headEnd/>
          <a:tailEnd/>
        </a:ln>
      </xdr:spPr>
    </xdr:sp>
    <xdr:clientData/>
  </xdr:twoCellAnchor>
  <xdr:twoCellAnchor>
    <xdr:from>
      <xdr:col>15</xdr:col>
      <xdr:colOff>104775</xdr:colOff>
      <xdr:row>7</xdr:row>
      <xdr:rowOff>38100</xdr:rowOff>
    </xdr:from>
    <xdr:to>
      <xdr:col>15</xdr:col>
      <xdr:colOff>200025</xdr:colOff>
      <xdr:row>8</xdr:row>
      <xdr:rowOff>0</xdr:rowOff>
    </xdr:to>
    <xdr:sp macro="" textlink="">
      <xdr:nvSpPr>
        <xdr:cNvPr id="24885" name="Rectangle 8"/>
        <xdr:cNvSpPr>
          <a:spLocks noChangeArrowheads="1"/>
        </xdr:cNvSpPr>
      </xdr:nvSpPr>
      <xdr:spPr bwMode="auto">
        <a:xfrm>
          <a:off x="6686550" y="1419225"/>
          <a:ext cx="95250" cy="152400"/>
        </a:xfrm>
        <a:prstGeom prst="rect">
          <a:avLst/>
        </a:prstGeom>
        <a:solidFill>
          <a:srgbClr val="FFFFFF"/>
        </a:solidFill>
        <a:ln w="9525">
          <a:solidFill>
            <a:srgbClr val="000000"/>
          </a:solidFill>
          <a:miter lim="800000"/>
          <a:headEnd/>
          <a:tailEnd/>
        </a:ln>
      </xdr:spPr>
    </xdr:sp>
    <xdr:clientData/>
  </xdr:twoCellAnchor>
  <xdr:twoCellAnchor>
    <xdr:from>
      <xdr:col>15</xdr:col>
      <xdr:colOff>104775</xdr:colOff>
      <xdr:row>8</xdr:row>
      <xdr:rowOff>28575</xdr:rowOff>
    </xdr:from>
    <xdr:to>
      <xdr:col>15</xdr:col>
      <xdr:colOff>200025</xdr:colOff>
      <xdr:row>8</xdr:row>
      <xdr:rowOff>152400</xdr:rowOff>
    </xdr:to>
    <xdr:sp macro="" textlink="">
      <xdr:nvSpPr>
        <xdr:cNvPr id="24886" name="Rectangle 9"/>
        <xdr:cNvSpPr>
          <a:spLocks noChangeArrowheads="1"/>
        </xdr:cNvSpPr>
      </xdr:nvSpPr>
      <xdr:spPr bwMode="auto">
        <a:xfrm>
          <a:off x="6686550" y="1600200"/>
          <a:ext cx="95250" cy="123825"/>
        </a:xfrm>
        <a:prstGeom prst="rect">
          <a:avLst/>
        </a:prstGeom>
        <a:solidFill>
          <a:srgbClr val="FFFFFF"/>
        </a:solidFill>
        <a:ln w="9525">
          <a:solidFill>
            <a:srgbClr val="000000"/>
          </a:solidFill>
          <a:miter lim="800000"/>
          <a:headEnd/>
          <a:tailEnd/>
        </a:ln>
      </xdr:spPr>
    </xdr:sp>
    <xdr:clientData/>
  </xdr:twoCellAnchor>
  <xdr:twoCellAnchor editAs="oneCell">
    <xdr:from>
      <xdr:col>3</xdr:col>
      <xdr:colOff>95250</xdr:colOff>
      <xdr:row>11</xdr:row>
      <xdr:rowOff>0</xdr:rowOff>
    </xdr:from>
    <xdr:to>
      <xdr:col>3</xdr:col>
      <xdr:colOff>295275</xdr:colOff>
      <xdr:row>11</xdr:row>
      <xdr:rowOff>123825</xdr:rowOff>
    </xdr:to>
    <xdr:sp macro="" textlink="">
      <xdr:nvSpPr>
        <xdr:cNvPr id="11" name="Text Box 10"/>
        <xdr:cNvSpPr txBox="1">
          <a:spLocks noChangeArrowheads="1"/>
        </xdr:cNvSpPr>
      </xdr:nvSpPr>
      <xdr:spPr bwMode="auto">
        <a:xfrm>
          <a:off x="981075" y="2152650"/>
          <a:ext cx="200025"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día</a:t>
          </a:r>
          <a:endParaRPr lang="es-MX"/>
        </a:p>
      </xdr:txBody>
    </xdr:sp>
    <xdr:clientData/>
  </xdr:twoCellAnchor>
  <xdr:twoCellAnchor editAs="oneCell">
    <xdr:from>
      <xdr:col>4</xdr:col>
      <xdr:colOff>76200</xdr:colOff>
      <xdr:row>11</xdr:row>
      <xdr:rowOff>0</xdr:rowOff>
    </xdr:from>
    <xdr:to>
      <xdr:col>4</xdr:col>
      <xdr:colOff>276225</xdr:colOff>
      <xdr:row>11</xdr:row>
      <xdr:rowOff>123825</xdr:rowOff>
    </xdr:to>
    <xdr:sp macro="" textlink="">
      <xdr:nvSpPr>
        <xdr:cNvPr id="12" name="Text Box 11"/>
        <xdr:cNvSpPr txBox="1">
          <a:spLocks noChangeArrowheads="1"/>
        </xdr:cNvSpPr>
      </xdr:nvSpPr>
      <xdr:spPr bwMode="auto">
        <a:xfrm>
          <a:off x="1333500" y="2152650"/>
          <a:ext cx="200025"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mes</a:t>
          </a:r>
          <a:endParaRPr lang="es-MX"/>
        </a:p>
      </xdr:txBody>
    </xdr:sp>
    <xdr:clientData/>
  </xdr:twoCellAnchor>
  <xdr:twoCellAnchor editAs="oneCell">
    <xdr:from>
      <xdr:col>5</xdr:col>
      <xdr:colOff>95250</xdr:colOff>
      <xdr:row>11</xdr:row>
      <xdr:rowOff>9525</xdr:rowOff>
    </xdr:from>
    <xdr:to>
      <xdr:col>5</xdr:col>
      <xdr:colOff>295275</xdr:colOff>
      <xdr:row>11</xdr:row>
      <xdr:rowOff>133350</xdr:rowOff>
    </xdr:to>
    <xdr:sp macro="" textlink="">
      <xdr:nvSpPr>
        <xdr:cNvPr id="13" name="Text Box 12"/>
        <xdr:cNvSpPr txBox="1">
          <a:spLocks noChangeArrowheads="1"/>
        </xdr:cNvSpPr>
      </xdr:nvSpPr>
      <xdr:spPr bwMode="auto">
        <a:xfrm>
          <a:off x="1695450" y="2162175"/>
          <a:ext cx="200025"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año</a:t>
          </a:r>
          <a:endParaRPr lang="es-MX"/>
        </a:p>
      </xdr:txBody>
    </xdr:sp>
    <xdr:clientData/>
  </xdr:twoCellAnchor>
  <xdr:twoCellAnchor editAs="oneCell">
    <xdr:from>
      <xdr:col>1</xdr:col>
      <xdr:colOff>342900</xdr:colOff>
      <xdr:row>9</xdr:row>
      <xdr:rowOff>152400</xdr:rowOff>
    </xdr:from>
    <xdr:to>
      <xdr:col>4</xdr:col>
      <xdr:colOff>19050</xdr:colOff>
      <xdr:row>11</xdr:row>
      <xdr:rowOff>28575</xdr:rowOff>
    </xdr:to>
    <xdr:sp macro="" textlink="">
      <xdr:nvSpPr>
        <xdr:cNvPr id="14" name="Text Box 13"/>
        <xdr:cNvSpPr txBox="1">
          <a:spLocks noChangeArrowheads="1"/>
        </xdr:cNvSpPr>
      </xdr:nvSpPr>
      <xdr:spPr bwMode="auto">
        <a:xfrm>
          <a:off x="466725" y="1914525"/>
          <a:ext cx="809625" cy="266700"/>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Razón del</a:t>
          </a:r>
        </a:p>
        <a:p>
          <a:pPr algn="l" rtl="0">
            <a:defRPr sz="1000"/>
          </a:pPr>
          <a:r>
            <a:rPr lang="es-MX" sz="600" b="0" i="0" u="none" strike="noStrike" baseline="0">
              <a:solidFill>
                <a:srgbClr val="000000"/>
              </a:solidFill>
              <a:latin typeface="Arial"/>
              <a:cs typeface="Arial"/>
            </a:rPr>
            <a:t>   Endoso</a:t>
          </a:r>
          <a:endParaRPr lang="es-MX"/>
        </a:p>
      </xdr:txBody>
    </xdr:sp>
    <xdr:clientData/>
  </xdr:twoCellAnchor>
  <xdr:twoCellAnchor>
    <xdr:from>
      <xdr:col>13</xdr:col>
      <xdr:colOff>9525</xdr:colOff>
      <xdr:row>11</xdr:row>
      <xdr:rowOff>123825</xdr:rowOff>
    </xdr:from>
    <xdr:to>
      <xdr:col>14</xdr:col>
      <xdr:colOff>0</xdr:colOff>
      <xdr:row>11</xdr:row>
      <xdr:rowOff>123825</xdr:rowOff>
    </xdr:to>
    <xdr:sp macro="" textlink="">
      <xdr:nvSpPr>
        <xdr:cNvPr id="24891" name="Line 18"/>
        <xdr:cNvSpPr>
          <a:spLocks noChangeShapeType="1"/>
        </xdr:cNvSpPr>
      </xdr:nvSpPr>
      <xdr:spPr bwMode="auto">
        <a:xfrm>
          <a:off x="5686425" y="2276475"/>
          <a:ext cx="600075" cy="0"/>
        </a:xfrm>
        <a:prstGeom prst="line">
          <a:avLst/>
        </a:prstGeom>
        <a:noFill/>
        <a:ln w="9525">
          <a:solidFill>
            <a:srgbClr val="000000"/>
          </a:solidFill>
          <a:round/>
          <a:headEnd/>
          <a:tailEnd/>
        </a:ln>
      </xdr:spPr>
    </xdr:sp>
    <xdr:clientData/>
  </xdr:twoCellAnchor>
  <xdr:twoCellAnchor>
    <xdr:from>
      <xdr:col>13</xdr:col>
      <xdr:colOff>295275</xdr:colOff>
      <xdr:row>11</xdr:row>
      <xdr:rowOff>0</xdr:rowOff>
    </xdr:from>
    <xdr:to>
      <xdr:col>13</xdr:col>
      <xdr:colOff>295275</xdr:colOff>
      <xdr:row>11</xdr:row>
      <xdr:rowOff>123825</xdr:rowOff>
    </xdr:to>
    <xdr:sp macro="" textlink="">
      <xdr:nvSpPr>
        <xdr:cNvPr id="24892" name="Line 19"/>
        <xdr:cNvSpPr>
          <a:spLocks noChangeShapeType="1"/>
        </xdr:cNvSpPr>
      </xdr:nvSpPr>
      <xdr:spPr bwMode="auto">
        <a:xfrm flipH="1" flipV="1">
          <a:off x="5972175" y="2152650"/>
          <a:ext cx="0" cy="123825"/>
        </a:xfrm>
        <a:prstGeom prst="line">
          <a:avLst/>
        </a:prstGeom>
        <a:noFill/>
        <a:ln w="9525">
          <a:solidFill>
            <a:srgbClr val="000000"/>
          </a:solidFill>
          <a:round/>
          <a:headEnd/>
          <a:tailEnd/>
        </a:ln>
      </xdr:spPr>
    </xdr:sp>
    <xdr:clientData/>
  </xdr:twoCellAnchor>
  <xdr:twoCellAnchor editAs="oneCell">
    <xdr:from>
      <xdr:col>12</xdr:col>
      <xdr:colOff>285750</xdr:colOff>
      <xdr:row>11</xdr:row>
      <xdr:rowOff>0</xdr:rowOff>
    </xdr:from>
    <xdr:to>
      <xdr:col>16</xdr:col>
      <xdr:colOff>47625</xdr:colOff>
      <xdr:row>11</xdr:row>
      <xdr:rowOff>114300</xdr:rowOff>
    </xdr:to>
    <xdr:sp macro="" textlink="">
      <xdr:nvSpPr>
        <xdr:cNvPr id="17" name="Text Box 20"/>
        <xdr:cNvSpPr txBox="1">
          <a:spLocks noChangeArrowheads="1"/>
        </xdr:cNvSpPr>
      </xdr:nvSpPr>
      <xdr:spPr bwMode="auto">
        <a:xfrm>
          <a:off x="5667375" y="2152650"/>
          <a:ext cx="1257300" cy="114300"/>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Desde       Hasta</a:t>
          </a:r>
          <a:endParaRPr lang="es-MX"/>
        </a:p>
      </xdr:txBody>
    </xdr:sp>
    <xdr:clientData/>
  </xdr:twoCellAnchor>
  <xdr:twoCellAnchor editAs="oneCell">
    <xdr:from>
      <xdr:col>13</xdr:col>
      <xdr:colOff>19050</xdr:colOff>
      <xdr:row>11</xdr:row>
      <xdr:rowOff>133350</xdr:rowOff>
    </xdr:from>
    <xdr:to>
      <xdr:col>14</xdr:col>
      <xdr:colOff>200025</xdr:colOff>
      <xdr:row>11</xdr:row>
      <xdr:rowOff>228600</xdr:rowOff>
    </xdr:to>
    <xdr:sp macro="" textlink="">
      <xdr:nvSpPr>
        <xdr:cNvPr id="18" name="Text Box 21"/>
        <xdr:cNvSpPr txBox="1">
          <a:spLocks noChangeArrowheads="1"/>
        </xdr:cNvSpPr>
      </xdr:nvSpPr>
      <xdr:spPr bwMode="auto">
        <a:xfrm>
          <a:off x="5695950" y="2286000"/>
          <a:ext cx="790575" cy="95250"/>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a las 12:00 hrs.</a:t>
          </a:r>
          <a:endParaRPr lang="es-MX"/>
        </a:p>
      </xdr:txBody>
    </xdr:sp>
    <xdr:clientData/>
  </xdr:twoCellAnchor>
  <xdr:twoCellAnchor>
    <xdr:from>
      <xdr:col>7</xdr:col>
      <xdr:colOff>104775</xdr:colOff>
      <xdr:row>18</xdr:row>
      <xdr:rowOff>19050</xdr:rowOff>
    </xdr:from>
    <xdr:to>
      <xdr:col>7</xdr:col>
      <xdr:colOff>200025</xdr:colOff>
      <xdr:row>18</xdr:row>
      <xdr:rowOff>142875</xdr:rowOff>
    </xdr:to>
    <xdr:sp macro="" textlink="">
      <xdr:nvSpPr>
        <xdr:cNvPr id="24895" name="Rectangle 22"/>
        <xdr:cNvSpPr>
          <a:spLocks noChangeArrowheads="1"/>
        </xdr:cNvSpPr>
      </xdr:nvSpPr>
      <xdr:spPr bwMode="auto">
        <a:xfrm>
          <a:off x="2543175" y="3619500"/>
          <a:ext cx="95250" cy="123825"/>
        </a:xfrm>
        <a:prstGeom prst="rect">
          <a:avLst/>
        </a:prstGeom>
        <a:solidFill>
          <a:srgbClr val="FFFFFF"/>
        </a:solidFill>
        <a:ln w="9525">
          <a:solidFill>
            <a:srgbClr val="000000"/>
          </a:solidFill>
          <a:miter lim="800000"/>
          <a:headEnd/>
          <a:tailEnd/>
        </a:ln>
      </xdr:spPr>
    </xdr:sp>
    <xdr:clientData/>
  </xdr:twoCellAnchor>
  <xdr:twoCellAnchor>
    <xdr:from>
      <xdr:col>7</xdr:col>
      <xdr:colOff>552450</xdr:colOff>
      <xdr:row>18</xdr:row>
      <xdr:rowOff>19050</xdr:rowOff>
    </xdr:from>
    <xdr:to>
      <xdr:col>7</xdr:col>
      <xdr:colOff>647700</xdr:colOff>
      <xdr:row>18</xdr:row>
      <xdr:rowOff>142875</xdr:rowOff>
    </xdr:to>
    <xdr:sp macro="" textlink="">
      <xdr:nvSpPr>
        <xdr:cNvPr id="24896" name="Rectangle 23"/>
        <xdr:cNvSpPr>
          <a:spLocks noChangeArrowheads="1"/>
        </xdr:cNvSpPr>
      </xdr:nvSpPr>
      <xdr:spPr bwMode="auto">
        <a:xfrm>
          <a:off x="2990850" y="3619500"/>
          <a:ext cx="95250" cy="123825"/>
        </a:xfrm>
        <a:prstGeom prst="rect">
          <a:avLst/>
        </a:prstGeom>
        <a:solidFill>
          <a:srgbClr val="FFFFFF"/>
        </a:solidFill>
        <a:ln w="9525">
          <a:solidFill>
            <a:srgbClr val="000000"/>
          </a:solidFill>
          <a:miter lim="800000"/>
          <a:headEnd/>
          <a:tailEnd/>
        </a:ln>
      </xdr:spPr>
    </xdr:sp>
    <xdr:clientData/>
  </xdr:twoCellAnchor>
  <xdr:twoCellAnchor>
    <xdr:from>
      <xdr:col>7</xdr:col>
      <xdr:colOff>104775</xdr:colOff>
      <xdr:row>19</xdr:row>
      <xdr:rowOff>28575</xdr:rowOff>
    </xdr:from>
    <xdr:to>
      <xdr:col>7</xdr:col>
      <xdr:colOff>200025</xdr:colOff>
      <xdr:row>19</xdr:row>
      <xdr:rowOff>152400</xdr:rowOff>
    </xdr:to>
    <xdr:sp macro="" textlink="">
      <xdr:nvSpPr>
        <xdr:cNvPr id="24897" name="Rectangle 24"/>
        <xdr:cNvSpPr>
          <a:spLocks noChangeArrowheads="1"/>
        </xdr:cNvSpPr>
      </xdr:nvSpPr>
      <xdr:spPr bwMode="auto">
        <a:xfrm>
          <a:off x="2543175" y="3819525"/>
          <a:ext cx="95250" cy="123825"/>
        </a:xfrm>
        <a:prstGeom prst="rect">
          <a:avLst/>
        </a:prstGeom>
        <a:noFill/>
        <a:ln w="9525">
          <a:solidFill>
            <a:srgbClr val="000000"/>
          </a:solidFill>
          <a:miter lim="800000"/>
          <a:headEnd/>
          <a:tailEnd/>
        </a:ln>
      </xdr:spPr>
    </xdr:sp>
    <xdr:clientData/>
  </xdr:twoCellAnchor>
  <xdr:twoCellAnchor>
    <xdr:from>
      <xdr:col>7</xdr:col>
      <xdr:colOff>552450</xdr:colOff>
      <xdr:row>19</xdr:row>
      <xdr:rowOff>28575</xdr:rowOff>
    </xdr:from>
    <xdr:to>
      <xdr:col>7</xdr:col>
      <xdr:colOff>647700</xdr:colOff>
      <xdr:row>19</xdr:row>
      <xdr:rowOff>152400</xdr:rowOff>
    </xdr:to>
    <xdr:sp macro="" textlink="">
      <xdr:nvSpPr>
        <xdr:cNvPr id="24898" name="Rectangle 25"/>
        <xdr:cNvSpPr>
          <a:spLocks noChangeArrowheads="1"/>
        </xdr:cNvSpPr>
      </xdr:nvSpPr>
      <xdr:spPr bwMode="auto">
        <a:xfrm>
          <a:off x="2990850" y="3819525"/>
          <a:ext cx="95250" cy="123825"/>
        </a:xfrm>
        <a:prstGeom prst="rect">
          <a:avLst/>
        </a:prstGeom>
        <a:noFill/>
        <a:ln w="9525">
          <a:solidFill>
            <a:srgbClr val="000000"/>
          </a:solidFill>
          <a:miter lim="800000"/>
          <a:headEnd/>
          <a:tailEnd/>
        </a:ln>
      </xdr:spPr>
    </xdr:sp>
    <xdr:clientData/>
  </xdr:twoCellAnchor>
  <xdr:twoCellAnchor>
    <xdr:from>
      <xdr:col>7</xdr:col>
      <xdr:colOff>104775</xdr:colOff>
      <xdr:row>21</xdr:row>
      <xdr:rowOff>19050</xdr:rowOff>
    </xdr:from>
    <xdr:to>
      <xdr:col>7</xdr:col>
      <xdr:colOff>200025</xdr:colOff>
      <xdr:row>21</xdr:row>
      <xdr:rowOff>142875</xdr:rowOff>
    </xdr:to>
    <xdr:sp macro="" textlink="">
      <xdr:nvSpPr>
        <xdr:cNvPr id="24899" name="Rectangle 26"/>
        <xdr:cNvSpPr>
          <a:spLocks noChangeArrowheads="1"/>
        </xdr:cNvSpPr>
      </xdr:nvSpPr>
      <xdr:spPr bwMode="auto">
        <a:xfrm>
          <a:off x="2543175" y="4191000"/>
          <a:ext cx="95250" cy="123825"/>
        </a:xfrm>
        <a:prstGeom prst="rect">
          <a:avLst/>
        </a:prstGeom>
        <a:noFill/>
        <a:ln w="9525">
          <a:solidFill>
            <a:srgbClr val="000000"/>
          </a:solidFill>
          <a:miter lim="800000"/>
          <a:headEnd/>
          <a:tailEnd/>
        </a:ln>
      </xdr:spPr>
    </xdr:sp>
    <xdr:clientData/>
  </xdr:twoCellAnchor>
  <xdr:twoCellAnchor>
    <xdr:from>
      <xdr:col>7</xdr:col>
      <xdr:colOff>552450</xdr:colOff>
      <xdr:row>21</xdr:row>
      <xdr:rowOff>19050</xdr:rowOff>
    </xdr:from>
    <xdr:to>
      <xdr:col>7</xdr:col>
      <xdr:colOff>647700</xdr:colOff>
      <xdr:row>21</xdr:row>
      <xdr:rowOff>142875</xdr:rowOff>
    </xdr:to>
    <xdr:sp macro="" textlink="">
      <xdr:nvSpPr>
        <xdr:cNvPr id="24900" name="Rectangle 27"/>
        <xdr:cNvSpPr>
          <a:spLocks noChangeArrowheads="1"/>
        </xdr:cNvSpPr>
      </xdr:nvSpPr>
      <xdr:spPr bwMode="auto">
        <a:xfrm>
          <a:off x="2990850" y="4191000"/>
          <a:ext cx="95250" cy="123825"/>
        </a:xfrm>
        <a:prstGeom prst="rect">
          <a:avLst/>
        </a:prstGeom>
        <a:noFill/>
        <a:ln w="9525">
          <a:solidFill>
            <a:srgbClr val="000000"/>
          </a:solidFill>
          <a:miter lim="800000"/>
          <a:headEnd/>
          <a:tailEnd/>
        </a:ln>
      </xdr:spPr>
    </xdr:sp>
    <xdr:clientData/>
  </xdr:twoCellAnchor>
  <xdr:twoCellAnchor>
    <xdr:from>
      <xdr:col>7</xdr:col>
      <xdr:colOff>104775</xdr:colOff>
      <xdr:row>22</xdr:row>
      <xdr:rowOff>19050</xdr:rowOff>
    </xdr:from>
    <xdr:to>
      <xdr:col>7</xdr:col>
      <xdr:colOff>200025</xdr:colOff>
      <xdr:row>22</xdr:row>
      <xdr:rowOff>142875</xdr:rowOff>
    </xdr:to>
    <xdr:sp macro="" textlink="">
      <xdr:nvSpPr>
        <xdr:cNvPr id="24901" name="Rectangle 28"/>
        <xdr:cNvSpPr>
          <a:spLocks noChangeArrowheads="1"/>
        </xdr:cNvSpPr>
      </xdr:nvSpPr>
      <xdr:spPr bwMode="auto">
        <a:xfrm>
          <a:off x="2543175" y="4381500"/>
          <a:ext cx="95250" cy="123825"/>
        </a:xfrm>
        <a:prstGeom prst="rect">
          <a:avLst/>
        </a:prstGeom>
        <a:noFill/>
        <a:ln w="9525">
          <a:solidFill>
            <a:srgbClr val="000000"/>
          </a:solidFill>
          <a:miter lim="800000"/>
          <a:headEnd/>
          <a:tailEnd/>
        </a:ln>
      </xdr:spPr>
    </xdr:sp>
    <xdr:clientData/>
  </xdr:twoCellAnchor>
  <xdr:twoCellAnchor>
    <xdr:from>
      <xdr:col>7</xdr:col>
      <xdr:colOff>552450</xdr:colOff>
      <xdr:row>22</xdr:row>
      <xdr:rowOff>19050</xdr:rowOff>
    </xdr:from>
    <xdr:to>
      <xdr:col>7</xdr:col>
      <xdr:colOff>647700</xdr:colOff>
      <xdr:row>22</xdr:row>
      <xdr:rowOff>142875</xdr:rowOff>
    </xdr:to>
    <xdr:sp macro="" textlink="">
      <xdr:nvSpPr>
        <xdr:cNvPr id="24902" name="Rectangle 29"/>
        <xdr:cNvSpPr>
          <a:spLocks noChangeArrowheads="1"/>
        </xdr:cNvSpPr>
      </xdr:nvSpPr>
      <xdr:spPr bwMode="auto">
        <a:xfrm>
          <a:off x="2990850" y="4381500"/>
          <a:ext cx="95250" cy="123825"/>
        </a:xfrm>
        <a:prstGeom prst="rect">
          <a:avLst/>
        </a:prstGeom>
        <a:noFill/>
        <a:ln w="9525">
          <a:solidFill>
            <a:srgbClr val="000000"/>
          </a:solidFill>
          <a:miter lim="800000"/>
          <a:headEnd/>
          <a:tailEnd/>
        </a:ln>
      </xdr:spPr>
    </xdr:sp>
    <xdr:clientData/>
  </xdr:twoCellAnchor>
  <xdr:twoCellAnchor>
    <xdr:from>
      <xdr:col>7</xdr:col>
      <xdr:colOff>552450</xdr:colOff>
      <xdr:row>23</xdr:row>
      <xdr:rowOff>19050</xdr:rowOff>
    </xdr:from>
    <xdr:to>
      <xdr:col>7</xdr:col>
      <xdr:colOff>647700</xdr:colOff>
      <xdr:row>23</xdr:row>
      <xdr:rowOff>142875</xdr:rowOff>
    </xdr:to>
    <xdr:sp macro="" textlink="">
      <xdr:nvSpPr>
        <xdr:cNvPr id="24903" name="Rectangle 31"/>
        <xdr:cNvSpPr>
          <a:spLocks noChangeArrowheads="1"/>
        </xdr:cNvSpPr>
      </xdr:nvSpPr>
      <xdr:spPr bwMode="auto">
        <a:xfrm>
          <a:off x="2990850" y="4572000"/>
          <a:ext cx="95250" cy="123825"/>
        </a:xfrm>
        <a:prstGeom prst="rect">
          <a:avLst/>
        </a:prstGeom>
        <a:noFill/>
        <a:ln w="9525">
          <a:solidFill>
            <a:srgbClr val="000000"/>
          </a:solidFill>
          <a:miter lim="800000"/>
          <a:headEnd/>
          <a:tailEnd/>
        </a:ln>
      </xdr:spPr>
    </xdr:sp>
    <xdr:clientData/>
  </xdr:twoCellAnchor>
  <xdr:twoCellAnchor>
    <xdr:from>
      <xdr:col>7</xdr:col>
      <xdr:colOff>542925</xdr:colOff>
      <xdr:row>24</xdr:row>
      <xdr:rowOff>19050</xdr:rowOff>
    </xdr:from>
    <xdr:to>
      <xdr:col>7</xdr:col>
      <xdr:colOff>638175</xdr:colOff>
      <xdr:row>24</xdr:row>
      <xdr:rowOff>142875</xdr:rowOff>
    </xdr:to>
    <xdr:sp macro="" textlink="">
      <xdr:nvSpPr>
        <xdr:cNvPr id="24904" name="Rectangle 33"/>
        <xdr:cNvSpPr>
          <a:spLocks noChangeArrowheads="1"/>
        </xdr:cNvSpPr>
      </xdr:nvSpPr>
      <xdr:spPr bwMode="auto">
        <a:xfrm>
          <a:off x="2981325" y="4762500"/>
          <a:ext cx="95250" cy="123825"/>
        </a:xfrm>
        <a:prstGeom prst="rect">
          <a:avLst/>
        </a:prstGeom>
        <a:noFill/>
        <a:ln w="9525">
          <a:solidFill>
            <a:srgbClr val="000000"/>
          </a:solidFill>
          <a:miter lim="800000"/>
          <a:headEnd/>
          <a:tailEnd/>
        </a:ln>
      </xdr:spPr>
    </xdr:sp>
    <xdr:clientData/>
  </xdr:twoCellAnchor>
  <xdr:twoCellAnchor editAs="oneCell">
    <xdr:from>
      <xdr:col>7</xdr:col>
      <xdr:colOff>95250</xdr:colOff>
      <xdr:row>18</xdr:row>
      <xdr:rowOff>28575</xdr:rowOff>
    </xdr:from>
    <xdr:to>
      <xdr:col>7</xdr:col>
      <xdr:colOff>295275</xdr:colOff>
      <xdr:row>18</xdr:row>
      <xdr:rowOff>152400</xdr:rowOff>
    </xdr:to>
    <xdr:sp macro="" textlink="">
      <xdr:nvSpPr>
        <xdr:cNvPr id="29" name="Text Box 34"/>
        <xdr:cNvSpPr txBox="1">
          <a:spLocks noChangeArrowheads="1"/>
        </xdr:cNvSpPr>
      </xdr:nvSpPr>
      <xdr:spPr bwMode="auto">
        <a:xfrm>
          <a:off x="2533650" y="3629025"/>
          <a:ext cx="200025"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editAs="oneCell">
    <xdr:from>
      <xdr:col>7</xdr:col>
      <xdr:colOff>95250</xdr:colOff>
      <xdr:row>19</xdr:row>
      <xdr:rowOff>38100</xdr:rowOff>
    </xdr:from>
    <xdr:to>
      <xdr:col>7</xdr:col>
      <xdr:colOff>295275</xdr:colOff>
      <xdr:row>20</xdr:row>
      <xdr:rowOff>0</xdr:rowOff>
    </xdr:to>
    <xdr:sp macro="" textlink="">
      <xdr:nvSpPr>
        <xdr:cNvPr id="30" name="Text Box 35"/>
        <xdr:cNvSpPr txBox="1">
          <a:spLocks noChangeArrowheads="1"/>
        </xdr:cNvSpPr>
      </xdr:nvSpPr>
      <xdr:spPr bwMode="auto">
        <a:xfrm>
          <a:off x="2533650" y="3829050"/>
          <a:ext cx="200025" cy="152400"/>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editAs="oneCell">
    <xdr:from>
      <xdr:col>7</xdr:col>
      <xdr:colOff>95250</xdr:colOff>
      <xdr:row>21</xdr:row>
      <xdr:rowOff>28575</xdr:rowOff>
    </xdr:from>
    <xdr:to>
      <xdr:col>7</xdr:col>
      <xdr:colOff>295275</xdr:colOff>
      <xdr:row>21</xdr:row>
      <xdr:rowOff>152400</xdr:rowOff>
    </xdr:to>
    <xdr:sp macro="" textlink="">
      <xdr:nvSpPr>
        <xdr:cNvPr id="31" name="Text Box 36"/>
        <xdr:cNvSpPr txBox="1">
          <a:spLocks noChangeArrowheads="1"/>
        </xdr:cNvSpPr>
      </xdr:nvSpPr>
      <xdr:spPr bwMode="auto">
        <a:xfrm>
          <a:off x="2533650" y="4200525"/>
          <a:ext cx="200025"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editAs="oneCell">
    <xdr:from>
      <xdr:col>5</xdr:col>
      <xdr:colOff>85725</xdr:colOff>
      <xdr:row>30</xdr:row>
      <xdr:rowOff>47625</xdr:rowOff>
    </xdr:from>
    <xdr:to>
      <xdr:col>16</xdr:col>
      <xdr:colOff>171450</xdr:colOff>
      <xdr:row>31</xdr:row>
      <xdr:rowOff>28575</xdr:rowOff>
    </xdr:to>
    <xdr:sp macro="" textlink="">
      <xdr:nvSpPr>
        <xdr:cNvPr id="32" name="Text Box 37"/>
        <xdr:cNvSpPr txBox="1">
          <a:spLocks noChangeArrowheads="1"/>
        </xdr:cNvSpPr>
      </xdr:nvSpPr>
      <xdr:spPr bwMode="auto">
        <a:xfrm>
          <a:off x="1685925" y="5934075"/>
          <a:ext cx="5362575" cy="171450"/>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EN TESTIMONIO DE LO CUAL FIRMA EL PRESENTE EN LA CIUDAD DE MÉXICO D.F.</a:t>
          </a:r>
          <a:endParaRPr lang="es-MX"/>
        </a:p>
      </xdr:txBody>
    </xdr:sp>
    <xdr:clientData/>
  </xdr:twoCellAnchor>
  <xdr:twoCellAnchor editAs="oneCell">
    <xdr:from>
      <xdr:col>15</xdr:col>
      <xdr:colOff>95250</xdr:colOff>
      <xdr:row>6</xdr:row>
      <xdr:rowOff>47625</xdr:rowOff>
    </xdr:from>
    <xdr:to>
      <xdr:col>17</xdr:col>
      <xdr:colOff>9525</xdr:colOff>
      <xdr:row>7</xdr:row>
      <xdr:rowOff>9525</xdr:rowOff>
    </xdr:to>
    <xdr:sp macro="" textlink="">
      <xdr:nvSpPr>
        <xdr:cNvPr id="33" name="Text Box 41"/>
        <xdr:cNvSpPr txBox="1">
          <a:spLocks noChangeArrowheads="1"/>
        </xdr:cNvSpPr>
      </xdr:nvSpPr>
      <xdr:spPr bwMode="auto">
        <a:xfrm>
          <a:off x="6677025" y="1238250"/>
          <a:ext cx="666750" cy="152400"/>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editAs="oneCell">
    <xdr:from>
      <xdr:col>7</xdr:col>
      <xdr:colOff>95250</xdr:colOff>
      <xdr:row>22</xdr:row>
      <xdr:rowOff>19050</xdr:rowOff>
    </xdr:from>
    <xdr:to>
      <xdr:col>7</xdr:col>
      <xdr:colOff>295275</xdr:colOff>
      <xdr:row>22</xdr:row>
      <xdr:rowOff>142875</xdr:rowOff>
    </xdr:to>
    <xdr:sp macro="" textlink="">
      <xdr:nvSpPr>
        <xdr:cNvPr id="34" name="Text Box 44"/>
        <xdr:cNvSpPr txBox="1">
          <a:spLocks noChangeArrowheads="1"/>
        </xdr:cNvSpPr>
      </xdr:nvSpPr>
      <xdr:spPr bwMode="auto">
        <a:xfrm>
          <a:off x="2533650" y="4381500"/>
          <a:ext cx="200025" cy="123825"/>
        </a:xfrm>
        <a:prstGeom prst="rect">
          <a:avLst/>
        </a:prstGeom>
        <a:noFill/>
        <a:ln>
          <a:noFill/>
        </a:ln>
        <a:extLst>
          <a:ext uri="{909E8E84-426E-40DD-AFC4-6F175D3DCCD1}"/>
          <a:ext uri="{91240B29-F687-4F45-9708-019B960494DF}"/>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xdr:from>
      <xdr:col>13</xdr:col>
      <xdr:colOff>133350</xdr:colOff>
      <xdr:row>33</xdr:row>
      <xdr:rowOff>0</xdr:rowOff>
    </xdr:from>
    <xdr:to>
      <xdr:col>16</xdr:col>
      <xdr:colOff>438150</xdr:colOff>
      <xdr:row>73</xdr:row>
      <xdr:rowOff>19050</xdr:rowOff>
    </xdr:to>
    <xdr:sp macro="" textlink="">
      <xdr:nvSpPr>
        <xdr:cNvPr id="35" name="Text Box 45"/>
        <xdr:cNvSpPr txBox="1">
          <a:spLocks noChangeArrowheads="1"/>
        </xdr:cNvSpPr>
      </xdr:nvSpPr>
      <xdr:spPr bwMode="auto">
        <a:xfrm>
          <a:off x="5810250" y="6467475"/>
          <a:ext cx="1504950" cy="73533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s-MX" sz="1000" b="1" i="1" u="none" strike="noStrike" baseline="0">
              <a:solidFill>
                <a:srgbClr val="000000"/>
              </a:solidFill>
              <a:latin typeface="Arial"/>
              <a:cs typeface="Arial"/>
            </a:rPr>
            <a:t> </a:t>
          </a:r>
        </a:p>
        <a:p>
          <a:pPr algn="ctr" rtl="0">
            <a:defRPr sz="1000"/>
          </a:pPr>
          <a:r>
            <a:rPr lang="es-MX" sz="1000" b="1" i="1" u="none" strike="noStrike" baseline="0">
              <a:solidFill>
                <a:srgbClr val="000000"/>
              </a:solidFill>
              <a:latin typeface="Arial"/>
              <a:cs typeface="Arial"/>
            </a:rPr>
            <a:t>REPORTE: </a:t>
          </a:r>
        </a:p>
        <a:p>
          <a:pPr algn="ctr" rtl="0">
            <a:defRPr sz="1000"/>
          </a:pPr>
          <a:r>
            <a:rPr lang="es-MX" sz="1000" b="1" i="1" u="none" strike="noStrike" baseline="0">
              <a:solidFill>
                <a:srgbClr val="000000"/>
              </a:solidFill>
              <a:latin typeface="Arial"/>
              <a:cs typeface="Arial"/>
            </a:rPr>
            <a:t>ROBO O ACCIDENTE</a:t>
          </a:r>
          <a:endParaRPr lang="es-MX" sz="1000" b="1" i="0" u="none" strike="noStrike" baseline="0">
            <a:solidFill>
              <a:srgbClr val="000000"/>
            </a:solidFill>
            <a:latin typeface="Arial"/>
            <a:cs typeface="Arial"/>
          </a:endParaRPr>
        </a:p>
        <a:p>
          <a:pPr algn="ctr" rtl="0">
            <a:defRPr sz="1000"/>
          </a:pPr>
          <a:r>
            <a:rPr lang="es-MX" sz="1000" b="1" i="0" u="none" strike="noStrike" baseline="0">
              <a:solidFill>
                <a:srgbClr val="000000"/>
              </a:solidFill>
              <a:latin typeface="Arial"/>
              <a:cs typeface="Arial"/>
            </a:rPr>
            <a:t>ZONA</a:t>
          </a: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METROPOLITANA</a:t>
          </a:r>
        </a:p>
        <a:p>
          <a:pPr algn="ctr" rtl="0">
            <a:defRPr sz="1000"/>
          </a:pPr>
          <a:r>
            <a:rPr lang="es-MX" sz="800" b="1" i="0" u="none" strike="noStrike" baseline="0">
              <a:solidFill>
                <a:srgbClr val="000000"/>
              </a:solidFill>
              <a:latin typeface="Arial"/>
              <a:cs typeface="Arial"/>
            </a:rPr>
            <a:t>D.F. y PERIFERIA</a:t>
          </a:r>
        </a:p>
        <a:p>
          <a:pPr algn="ctr" rtl="0">
            <a:defRPr sz="1000"/>
          </a:pPr>
          <a:r>
            <a:rPr lang="es-MX" sz="800" b="1" i="0" u="none" strike="noStrike" baseline="0">
              <a:solidFill>
                <a:srgbClr val="000000"/>
              </a:solidFill>
              <a:latin typeface="Arial"/>
              <a:cs typeface="Arial"/>
            </a:rPr>
            <a:t>Edo. de México, , Mor., Gro., Qro., Hgo., Pue., Oax., Ver., y Tlax.</a:t>
          </a:r>
        </a:p>
        <a:p>
          <a:pPr algn="ctr" rtl="0">
            <a:defRPr sz="1000"/>
          </a:pPr>
          <a:r>
            <a:rPr lang="es-MX" sz="800" b="0" i="0" u="none" strike="noStrike" baseline="0">
              <a:solidFill>
                <a:srgbClr val="000000"/>
              </a:solidFill>
              <a:latin typeface="Arial"/>
              <a:cs typeface="Arial"/>
            </a:rPr>
            <a:t>01 800 908 43 00</a:t>
          </a:r>
        </a:p>
        <a:p>
          <a:pPr algn="ctr" rtl="0">
            <a:defRPr sz="1000"/>
          </a:pPr>
          <a:r>
            <a:rPr lang="es-MX" sz="800" b="0" i="0" u="none" strike="noStrike" baseline="0">
              <a:solidFill>
                <a:srgbClr val="000000"/>
              </a:solidFill>
              <a:latin typeface="Arial"/>
              <a:cs typeface="Arial"/>
            </a:rPr>
            <a:t>(0155) 5227 38 88</a:t>
          </a: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GUADALAJARA</a:t>
          </a:r>
        </a:p>
        <a:p>
          <a:pPr algn="ctr" rtl="0">
            <a:defRPr sz="1000"/>
          </a:pPr>
          <a:r>
            <a:rPr lang="es-MX" sz="800" b="1" i="0" u="none" strike="noStrike" baseline="0">
              <a:solidFill>
                <a:srgbClr val="000000"/>
              </a:solidFill>
              <a:latin typeface="Arial"/>
              <a:cs typeface="Arial"/>
            </a:rPr>
            <a:t>Jal., Zac., Gto., Nay., Sin., Mich., Col., Ags. y S.L.P.</a:t>
          </a:r>
          <a:endParaRPr lang="es-MX" sz="800" b="0" i="0" u="none" strike="noStrike" baseline="0">
            <a:solidFill>
              <a:srgbClr val="000000"/>
            </a:solidFill>
            <a:latin typeface="Arial"/>
            <a:cs typeface="Arial"/>
          </a:endParaRPr>
        </a:p>
        <a:p>
          <a:pPr algn="ctr" rtl="0">
            <a:defRPr sz="1000"/>
          </a:pPr>
          <a:r>
            <a:rPr lang="es-MX" sz="800" b="0" i="0" u="none" strike="noStrike" baseline="0">
              <a:solidFill>
                <a:srgbClr val="000000"/>
              </a:solidFill>
              <a:latin typeface="Arial"/>
              <a:cs typeface="Arial"/>
            </a:rPr>
            <a:t>01 800 363 48 00</a:t>
          </a:r>
        </a:p>
        <a:p>
          <a:pPr algn="ctr" rtl="0">
            <a:defRPr sz="1000"/>
          </a:pPr>
          <a:r>
            <a:rPr lang="es-MX" sz="800" b="0" i="0" u="none" strike="noStrike" baseline="0">
              <a:solidFill>
                <a:srgbClr val="000000"/>
              </a:solidFill>
              <a:latin typeface="Arial"/>
              <a:cs typeface="Arial"/>
            </a:rPr>
            <a:t>(01 33) 3669 0777</a:t>
          </a: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MEXICALI</a:t>
          </a:r>
        </a:p>
        <a:p>
          <a:pPr algn="ctr" rtl="0">
            <a:defRPr sz="1000"/>
          </a:pPr>
          <a:r>
            <a:rPr lang="es-MX" sz="800" b="1" i="0" u="none" strike="noStrike" baseline="0">
              <a:solidFill>
                <a:srgbClr val="000000"/>
              </a:solidFill>
              <a:latin typeface="Arial"/>
              <a:cs typeface="Arial"/>
            </a:rPr>
            <a:t>B.C., B.C. Sur y Son.</a:t>
          </a:r>
        </a:p>
        <a:p>
          <a:pPr algn="ctr" rtl="0">
            <a:defRPr sz="1000"/>
          </a:pPr>
          <a:r>
            <a:rPr lang="es-MX" sz="800" b="1" i="0" u="none" strike="noStrike" baseline="0">
              <a:solidFill>
                <a:srgbClr val="000000"/>
              </a:solidFill>
              <a:latin typeface="Arial"/>
              <a:cs typeface="Arial"/>
            </a:rPr>
            <a:t>(NOROESTE)</a:t>
          </a:r>
          <a:endParaRPr lang="es-MX" sz="800" b="0" i="0" u="none" strike="noStrike" baseline="0">
            <a:solidFill>
              <a:srgbClr val="000000"/>
            </a:solidFill>
            <a:latin typeface="Arial"/>
            <a:cs typeface="Arial"/>
          </a:endParaRPr>
        </a:p>
        <a:p>
          <a:pPr algn="ctr" rtl="0">
            <a:defRPr sz="1000"/>
          </a:pPr>
          <a:r>
            <a:rPr lang="es-MX" sz="800" b="0" i="0" u="none" strike="noStrike" baseline="0">
              <a:solidFill>
                <a:srgbClr val="000000"/>
              </a:solidFill>
              <a:latin typeface="Arial"/>
              <a:cs typeface="Arial"/>
            </a:rPr>
            <a:t>01 800 026 51 10</a:t>
          </a:r>
        </a:p>
        <a:p>
          <a:pPr algn="ctr" rtl="0">
            <a:defRPr sz="1000"/>
          </a:pPr>
          <a:r>
            <a:rPr lang="es-MX" sz="800" b="0" i="0" u="none" strike="noStrike" baseline="0">
              <a:solidFill>
                <a:srgbClr val="000000"/>
              </a:solidFill>
              <a:latin typeface="Arial"/>
              <a:cs typeface="Arial"/>
            </a:rPr>
            <a:t>(01 686) 566 1056</a:t>
          </a: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MONTERREY</a:t>
          </a:r>
        </a:p>
        <a:p>
          <a:pPr algn="ctr" rtl="0">
            <a:defRPr sz="1000"/>
          </a:pPr>
          <a:r>
            <a:rPr lang="es-MX" sz="800" b="1" i="0" u="none" strike="noStrike" baseline="0">
              <a:solidFill>
                <a:srgbClr val="000000"/>
              </a:solidFill>
              <a:latin typeface="Arial"/>
              <a:cs typeface="Arial"/>
            </a:rPr>
            <a:t>Nvo. León, Coah., Chih.,</a:t>
          </a:r>
        </a:p>
        <a:p>
          <a:pPr algn="ctr" rtl="0">
            <a:defRPr sz="1000"/>
          </a:pPr>
          <a:r>
            <a:rPr lang="es-MX" sz="800" b="1" i="0" u="none" strike="noStrike" baseline="0">
              <a:solidFill>
                <a:srgbClr val="000000"/>
              </a:solidFill>
              <a:latin typeface="Arial"/>
              <a:cs typeface="Arial"/>
            </a:rPr>
            <a:t>Tamps. y Dgo.</a:t>
          </a:r>
        </a:p>
        <a:p>
          <a:pPr algn="ctr" rtl="0">
            <a:defRPr sz="1000"/>
          </a:pPr>
          <a:r>
            <a:rPr lang="es-MX" sz="800" b="1" i="0" u="none" strike="noStrike" baseline="0">
              <a:solidFill>
                <a:srgbClr val="000000"/>
              </a:solidFill>
              <a:latin typeface="Arial"/>
              <a:cs typeface="Arial"/>
            </a:rPr>
            <a:t>(NOROESTE)</a:t>
          </a:r>
        </a:p>
        <a:p>
          <a:pPr algn="ctr" rtl="0">
            <a:defRPr sz="1000"/>
          </a:pPr>
          <a:r>
            <a:rPr lang="es-MX" sz="800" b="0" i="0" u="none" strike="noStrike" baseline="0">
              <a:solidFill>
                <a:srgbClr val="000000"/>
              </a:solidFill>
              <a:latin typeface="Arial"/>
              <a:cs typeface="Arial"/>
            </a:rPr>
            <a:t>01 800 833 90 00</a:t>
          </a: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MÉRIDA</a:t>
          </a:r>
        </a:p>
        <a:p>
          <a:pPr algn="ctr" rtl="0">
            <a:defRPr sz="1000"/>
          </a:pPr>
          <a:r>
            <a:rPr lang="es-MX" sz="800" b="1" i="0" u="none" strike="noStrike" baseline="0">
              <a:solidFill>
                <a:srgbClr val="000000"/>
              </a:solidFill>
              <a:latin typeface="Arial"/>
              <a:cs typeface="Arial"/>
            </a:rPr>
            <a:t>Yuc., Q.Roo, Tab., Chis. y Camp.</a:t>
          </a:r>
        </a:p>
        <a:p>
          <a:pPr algn="ctr" rtl="0">
            <a:defRPr sz="1000"/>
          </a:pPr>
          <a:r>
            <a:rPr lang="es-MX" sz="800" b="1" i="0" u="none" strike="noStrike" baseline="0">
              <a:solidFill>
                <a:srgbClr val="000000"/>
              </a:solidFill>
              <a:latin typeface="Arial"/>
              <a:cs typeface="Arial"/>
            </a:rPr>
            <a:t>(SURESTE)</a:t>
          </a:r>
        </a:p>
        <a:p>
          <a:pPr algn="ctr" rtl="0">
            <a:defRPr sz="1000"/>
          </a:pPr>
          <a:r>
            <a:rPr lang="es-MX" sz="800" b="0" i="0" u="none" strike="noStrike" baseline="0">
              <a:solidFill>
                <a:srgbClr val="000000"/>
              </a:solidFill>
              <a:latin typeface="Arial"/>
              <a:cs typeface="Arial"/>
            </a:rPr>
            <a:t>01 800 712 00 32</a:t>
          </a:r>
        </a:p>
        <a:p>
          <a:pPr algn="ctr" rtl="0">
            <a:defRPr sz="1000"/>
          </a:pPr>
          <a:r>
            <a:rPr lang="es-MX" sz="800" b="0" i="0" u="none" strike="noStrike" baseline="0">
              <a:solidFill>
                <a:srgbClr val="000000"/>
              </a:solidFill>
              <a:latin typeface="Arial"/>
              <a:cs typeface="Arial"/>
            </a:rPr>
            <a:t>(01 99) 9944 6322</a:t>
          </a: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E.U.A.y CANADÁ</a:t>
          </a:r>
        </a:p>
        <a:p>
          <a:pPr algn="ctr" rtl="0">
            <a:defRPr sz="1000"/>
          </a:pPr>
          <a:r>
            <a:rPr lang="es-MX" sz="800" b="0" i="0" u="none" strike="noStrike" baseline="0">
              <a:solidFill>
                <a:srgbClr val="000000"/>
              </a:solidFill>
              <a:latin typeface="Arial"/>
              <a:cs typeface="Arial"/>
            </a:rPr>
            <a:t>01 800 392 3195</a:t>
          </a: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Seguimiento a Atención </a:t>
          </a:r>
        </a:p>
        <a:p>
          <a:pPr algn="ctr" rtl="0">
            <a:defRPr sz="1000"/>
          </a:pPr>
          <a:r>
            <a:rPr lang="es-MX" sz="800" b="1" i="0" u="none" strike="noStrike" baseline="0">
              <a:solidFill>
                <a:srgbClr val="000000"/>
              </a:solidFill>
              <a:latin typeface="Arial"/>
              <a:cs typeface="Arial"/>
            </a:rPr>
            <a:t>a Siniestros</a:t>
          </a:r>
        </a:p>
        <a:p>
          <a:pPr algn="ctr" rtl="0">
            <a:defRPr sz="1000"/>
          </a:pPr>
          <a:r>
            <a:rPr lang="es-MX" sz="800" b="0" i="0" u="none" strike="noStrike" baseline="0">
              <a:solidFill>
                <a:srgbClr val="000000"/>
              </a:solidFill>
              <a:latin typeface="Arial"/>
              <a:cs typeface="Arial"/>
            </a:rPr>
            <a:t>01 800 7378 467</a:t>
          </a: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           </a:t>
          </a:r>
          <a:r>
            <a:rPr lang="es-MX" sz="600" b="0" i="0" u="none" strike="noStrike" baseline="0">
              <a:solidFill>
                <a:srgbClr val="000000"/>
              </a:solidFill>
              <a:latin typeface="Arial"/>
              <a:cs typeface="Arial"/>
            </a:rPr>
            <a:t>SERV  GNP</a:t>
          </a:r>
          <a:endParaRPr lang="es-MX" sz="1000" b="1" i="0" u="none" strike="noStrike" baseline="0">
            <a:solidFill>
              <a:srgbClr val="000000"/>
            </a:solidFill>
            <a:latin typeface="Arial"/>
            <a:cs typeface="Arial"/>
          </a:endParaRPr>
        </a:p>
        <a:p>
          <a:pPr algn="ctr" rtl="0">
            <a:defRPr sz="1000"/>
          </a:pPr>
          <a:endParaRPr lang="es-MX" sz="1000" b="1" i="0" u="none" strike="noStrike" baseline="0">
            <a:solidFill>
              <a:srgbClr val="000000"/>
            </a:solidFill>
            <a:latin typeface="Arial"/>
            <a:cs typeface="Arial"/>
          </a:endParaRPr>
        </a:p>
        <a:p>
          <a:pPr algn="ctr" rtl="0">
            <a:defRPr sz="1000"/>
          </a:pPr>
          <a:endParaRPr lang="es-MX"/>
        </a:p>
      </xdr:txBody>
    </xdr:sp>
    <xdr:clientData/>
  </xdr:twoCellAnchor>
  <xdr:twoCellAnchor editAs="oneCell">
    <xdr:from>
      <xdr:col>7</xdr:col>
      <xdr:colOff>542925</xdr:colOff>
      <xdr:row>23</xdr:row>
      <xdr:rowOff>28575</xdr:rowOff>
    </xdr:from>
    <xdr:to>
      <xdr:col>7</xdr:col>
      <xdr:colOff>742950</xdr:colOff>
      <xdr:row>23</xdr:row>
      <xdr:rowOff>152400</xdr:rowOff>
    </xdr:to>
    <xdr:sp macro="" textlink="">
      <xdr:nvSpPr>
        <xdr:cNvPr id="24912" name="Text Box 46"/>
        <xdr:cNvSpPr txBox="1">
          <a:spLocks noChangeArrowheads="1"/>
        </xdr:cNvSpPr>
      </xdr:nvSpPr>
      <xdr:spPr bwMode="auto">
        <a:xfrm>
          <a:off x="2981325" y="4581525"/>
          <a:ext cx="200025" cy="123825"/>
        </a:xfrm>
        <a:prstGeom prst="rect">
          <a:avLst/>
        </a:prstGeom>
        <a:noFill/>
        <a:ln w="9525">
          <a:noFill/>
          <a:miter lim="800000"/>
          <a:headEnd/>
          <a:tailEnd/>
        </a:ln>
      </xdr:spPr>
    </xdr:sp>
    <xdr:clientData/>
  </xdr:twoCellAnchor>
  <xdr:twoCellAnchor editAs="oneCell">
    <xdr:from>
      <xdr:col>7</xdr:col>
      <xdr:colOff>533400</xdr:colOff>
      <xdr:row>24</xdr:row>
      <xdr:rowOff>28575</xdr:rowOff>
    </xdr:from>
    <xdr:to>
      <xdr:col>7</xdr:col>
      <xdr:colOff>733425</xdr:colOff>
      <xdr:row>24</xdr:row>
      <xdr:rowOff>152400</xdr:rowOff>
    </xdr:to>
    <xdr:sp macro="" textlink="">
      <xdr:nvSpPr>
        <xdr:cNvPr id="24913" name="Text Box 48"/>
        <xdr:cNvSpPr txBox="1">
          <a:spLocks noChangeArrowheads="1"/>
        </xdr:cNvSpPr>
      </xdr:nvSpPr>
      <xdr:spPr bwMode="auto">
        <a:xfrm>
          <a:off x="2971800" y="4772025"/>
          <a:ext cx="200025" cy="123825"/>
        </a:xfrm>
        <a:prstGeom prst="rect">
          <a:avLst/>
        </a:prstGeom>
        <a:noFill/>
        <a:ln w="9525">
          <a:noFill/>
          <a:miter lim="800000"/>
          <a:headEnd/>
          <a:tailEnd/>
        </a:ln>
      </xdr:spPr>
    </xdr:sp>
    <xdr:clientData/>
  </xdr:twoCellAnchor>
  <xdr:twoCellAnchor editAs="oneCell">
    <xdr:from>
      <xdr:col>3</xdr:col>
      <xdr:colOff>352425</xdr:colOff>
      <xdr:row>0</xdr:row>
      <xdr:rowOff>95250</xdr:rowOff>
    </xdr:from>
    <xdr:to>
      <xdr:col>6</xdr:col>
      <xdr:colOff>257175</xdr:colOff>
      <xdr:row>2</xdr:row>
      <xdr:rowOff>104775</xdr:rowOff>
    </xdr:to>
    <xdr:pic>
      <xdr:nvPicPr>
        <xdr:cNvPr id="24914" name="Picture 67" descr="nuevo logo GNP"/>
        <xdr:cNvPicPr>
          <a:picLocks noChangeAspect="1" noChangeArrowheads="1"/>
        </xdr:cNvPicPr>
      </xdr:nvPicPr>
      <xdr:blipFill>
        <a:blip xmlns:r="http://schemas.openxmlformats.org/officeDocument/2006/relationships" r:embed="rId2" cstate="print"/>
        <a:srcRect/>
        <a:stretch>
          <a:fillRect/>
        </a:stretch>
      </xdr:blipFill>
      <xdr:spPr bwMode="auto">
        <a:xfrm>
          <a:off x="1238250" y="95250"/>
          <a:ext cx="1028700" cy="390525"/>
        </a:xfrm>
        <a:prstGeom prst="rect">
          <a:avLst/>
        </a:prstGeom>
        <a:noFill/>
        <a:ln w="9525">
          <a:noFill/>
          <a:miter lim="800000"/>
          <a:headEnd/>
          <a:tailEnd/>
        </a:ln>
      </xdr:spPr>
    </xdr:pic>
    <xdr:clientData/>
  </xdr:twoCellAnchor>
  <xdr:twoCellAnchor editAs="oneCell">
    <xdr:from>
      <xdr:col>7</xdr:col>
      <xdr:colOff>104776</xdr:colOff>
      <xdr:row>23</xdr:row>
      <xdr:rowOff>19051</xdr:rowOff>
    </xdr:from>
    <xdr:to>
      <xdr:col>7</xdr:col>
      <xdr:colOff>200025</xdr:colOff>
      <xdr:row>23</xdr:row>
      <xdr:rowOff>161925</xdr:rowOff>
    </xdr:to>
    <xdr:sp macro="" textlink="">
      <xdr:nvSpPr>
        <xdr:cNvPr id="39" name="Text Box 44"/>
        <xdr:cNvSpPr txBox="1">
          <a:spLocks noChangeArrowheads="1"/>
        </xdr:cNvSpPr>
      </xdr:nvSpPr>
      <xdr:spPr bwMode="auto">
        <a:xfrm>
          <a:off x="2543176" y="4572001"/>
          <a:ext cx="95249" cy="142874"/>
        </a:xfrm>
        <a:prstGeom prst="rect">
          <a:avLst/>
        </a:prstGeom>
        <a:noFill/>
        <a:ln w="9525">
          <a:solidFill>
            <a:srgbClr val="000000"/>
          </a:solidFill>
          <a:miter lim="800000"/>
          <a:headEnd/>
          <a:tailEnd/>
        </a:ln>
        <a:extLst>
          <a:ext uri="{909E8E84-426E-40DD-AFC4-6F175D3DCCD1}"/>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editAs="oneCell">
    <xdr:from>
      <xdr:col>7</xdr:col>
      <xdr:colOff>114301</xdr:colOff>
      <xdr:row>24</xdr:row>
      <xdr:rowOff>28576</xdr:rowOff>
    </xdr:from>
    <xdr:to>
      <xdr:col>7</xdr:col>
      <xdr:colOff>209550</xdr:colOff>
      <xdr:row>24</xdr:row>
      <xdr:rowOff>171450</xdr:rowOff>
    </xdr:to>
    <xdr:sp macro="" textlink="">
      <xdr:nvSpPr>
        <xdr:cNvPr id="40" name="Text Box 44"/>
        <xdr:cNvSpPr txBox="1">
          <a:spLocks noChangeArrowheads="1"/>
        </xdr:cNvSpPr>
      </xdr:nvSpPr>
      <xdr:spPr bwMode="auto">
        <a:xfrm>
          <a:off x="2552701" y="4772026"/>
          <a:ext cx="95249" cy="142874"/>
        </a:xfrm>
        <a:prstGeom prst="rect">
          <a:avLst/>
        </a:prstGeom>
        <a:noFill/>
        <a:ln w="9525">
          <a:solidFill>
            <a:srgbClr val="000000"/>
          </a:solidFill>
          <a:miter lim="800000"/>
          <a:headEnd/>
          <a:tailEnd/>
        </a:ln>
        <a:extLst>
          <a:ext uri="{909E8E84-426E-40DD-AFC4-6F175D3DCCD1}"/>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xdr:from>
      <xdr:col>7</xdr:col>
      <xdr:colOff>542925</xdr:colOff>
      <xdr:row>25</xdr:row>
      <xdr:rowOff>19050</xdr:rowOff>
    </xdr:from>
    <xdr:to>
      <xdr:col>7</xdr:col>
      <xdr:colOff>638175</xdr:colOff>
      <xdr:row>25</xdr:row>
      <xdr:rowOff>142875</xdr:rowOff>
    </xdr:to>
    <xdr:sp macro="" textlink="">
      <xdr:nvSpPr>
        <xdr:cNvPr id="24917" name="Rectangle 33"/>
        <xdr:cNvSpPr>
          <a:spLocks noChangeArrowheads="1"/>
        </xdr:cNvSpPr>
      </xdr:nvSpPr>
      <xdr:spPr bwMode="auto">
        <a:xfrm>
          <a:off x="2981325" y="4953000"/>
          <a:ext cx="95250" cy="123825"/>
        </a:xfrm>
        <a:prstGeom prst="rect">
          <a:avLst/>
        </a:prstGeom>
        <a:noFill/>
        <a:ln w="9525">
          <a:solidFill>
            <a:srgbClr val="000000"/>
          </a:solidFill>
          <a:miter lim="800000"/>
          <a:headEnd/>
          <a:tailEnd/>
        </a:ln>
      </xdr:spPr>
    </xdr:sp>
    <xdr:clientData/>
  </xdr:twoCellAnchor>
  <xdr:twoCellAnchor editAs="oneCell">
    <xdr:from>
      <xdr:col>7</xdr:col>
      <xdr:colOff>533400</xdr:colOff>
      <xdr:row>25</xdr:row>
      <xdr:rowOff>28575</xdr:rowOff>
    </xdr:from>
    <xdr:to>
      <xdr:col>7</xdr:col>
      <xdr:colOff>733425</xdr:colOff>
      <xdr:row>25</xdr:row>
      <xdr:rowOff>152400</xdr:rowOff>
    </xdr:to>
    <xdr:sp macro="" textlink="">
      <xdr:nvSpPr>
        <xdr:cNvPr id="24918" name="Text Box 48"/>
        <xdr:cNvSpPr txBox="1">
          <a:spLocks noChangeArrowheads="1"/>
        </xdr:cNvSpPr>
      </xdr:nvSpPr>
      <xdr:spPr bwMode="auto">
        <a:xfrm>
          <a:off x="2971800" y="4962525"/>
          <a:ext cx="200025" cy="123825"/>
        </a:xfrm>
        <a:prstGeom prst="rect">
          <a:avLst/>
        </a:prstGeom>
        <a:noFill/>
        <a:ln w="9525">
          <a:noFill/>
          <a:miter lim="800000"/>
          <a:headEnd/>
          <a:tailEnd/>
        </a:ln>
      </xdr:spPr>
    </xdr:sp>
    <xdr:clientData/>
  </xdr:twoCellAnchor>
  <xdr:twoCellAnchor editAs="oneCell">
    <xdr:from>
      <xdr:col>7</xdr:col>
      <xdr:colOff>114301</xdr:colOff>
      <xdr:row>25</xdr:row>
      <xdr:rowOff>28576</xdr:rowOff>
    </xdr:from>
    <xdr:to>
      <xdr:col>7</xdr:col>
      <xdr:colOff>209550</xdr:colOff>
      <xdr:row>25</xdr:row>
      <xdr:rowOff>171450</xdr:rowOff>
    </xdr:to>
    <xdr:sp macro="" textlink="">
      <xdr:nvSpPr>
        <xdr:cNvPr id="43" name="Text Box 44"/>
        <xdr:cNvSpPr txBox="1">
          <a:spLocks noChangeArrowheads="1"/>
        </xdr:cNvSpPr>
      </xdr:nvSpPr>
      <xdr:spPr bwMode="auto">
        <a:xfrm>
          <a:off x="2552701" y="4962526"/>
          <a:ext cx="95249" cy="142874"/>
        </a:xfrm>
        <a:prstGeom prst="rect">
          <a:avLst/>
        </a:prstGeom>
        <a:noFill/>
        <a:ln w="9525">
          <a:solidFill>
            <a:srgbClr val="000000"/>
          </a:solidFill>
          <a:miter lim="800000"/>
          <a:headEnd/>
          <a:tailEnd/>
        </a:ln>
        <a:extLst>
          <a:ext uri="{909E8E84-426E-40DD-AFC4-6F175D3DCCD1}"/>
        </a:extLst>
      </xdr:spPr>
      <xdr:txBody>
        <a:bodyPr vertOverflow="clip" wrap="square" lIns="27432" tIns="18288" rIns="0" bIns="0" anchor="t" upright="1"/>
        <a:lstStyle/>
        <a:p>
          <a:pPr algn="l" rtl="0">
            <a:defRPr sz="1000"/>
          </a:pPr>
          <a:r>
            <a:rPr lang="es-MX" sz="600" b="0" i="0" u="none" strike="noStrike" baseline="0">
              <a:solidFill>
                <a:srgbClr val="000000"/>
              </a:solidFill>
              <a:latin typeface="Arial"/>
              <a:cs typeface="Arial"/>
            </a:rPr>
            <a:t>X</a:t>
          </a:r>
          <a:endParaRPr lang="es-MX"/>
        </a:p>
      </xdr:txBody>
    </xdr:sp>
    <xdr:clientData/>
  </xdr:twoCellAnchor>
  <xdr:twoCellAnchor editAs="oneCell">
    <xdr:from>
      <xdr:col>8</xdr:col>
      <xdr:colOff>190500</xdr:colOff>
      <xdr:row>6</xdr:row>
      <xdr:rowOff>142875</xdr:rowOff>
    </xdr:from>
    <xdr:to>
      <xdr:col>8</xdr:col>
      <xdr:colOff>266700</xdr:colOff>
      <xdr:row>7</xdr:row>
      <xdr:rowOff>152400</xdr:rowOff>
    </xdr:to>
    <xdr:sp macro="" textlink="">
      <xdr:nvSpPr>
        <xdr:cNvPr id="24920" name="Text Box 4"/>
        <xdr:cNvSpPr txBox="1">
          <a:spLocks noChangeArrowheads="1"/>
        </xdr:cNvSpPr>
      </xdr:nvSpPr>
      <xdr:spPr bwMode="auto">
        <a:xfrm>
          <a:off x="3390900" y="1333500"/>
          <a:ext cx="76200" cy="2000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415827</xdr:colOff>
      <xdr:row>1</xdr:row>
      <xdr:rowOff>63500</xdr:rowOff>
    </xdr:from>
    <xdr:to>
      <xdr:col>50</xdr:col>
      <xdr:colOff>610038</xdr:colOff>
      <xdr:row>4</xdr:row>
      <xdr:rowOff>105834</xdr:rowOff>
    </xdr:to>
    <xdr:pic>
      <xdr:nvPicPr>
        <xdr:cNvPr id="2" name="1 Imagen" descr="Logo Conauto.JPG"/>
        <xdr:cNvPicPr>
          <a:picLocks noChangeAspect="1"/>
        </xdr:cNvPicPr>
      </xdr:nvPicPr>
      <xdr:blipFill>
        <a:blip xmlns:r="http://schemas.openxmlformats.org/officeDocument/2006/relationships" r:embed="rId1" cstate="print"/>
        <a:srcRect t="5968" b="6367"/>
        <a:stretch>
          <a:fillRect/>
        </a:stretch>
      </xdr:blipFill>
      <xdr:spPr>
        <a:xfrm>
          <a:off x="711102" y="234950"/>
          <a:ext cx="2138520" cy="537634"/>
        </a:xfrm>
        <a:prstGeom prst="rect">
          <a:avLst/>
        </a:prstGeom>
        <a:ln>
          <a:solidFill>
            <a:schemeClr val="accent1">
              <a:lumMod val="75000"/>
            </a:schemeClr>
          </a:solidFill>
        </a:ln>
        <a:scene3d>
          <a:camera prst="orthographicFront"/>
          <a:lightRig rig="threePt" dir="t"/>
        </a:scene3d>
        <a:sp3d>
          <a:bevelT/>
        </a:sp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1</xdr:row>
      <xdr:rowOff>123825</xdr:rowOff>
    </xdr:from>
    <xdr:to>
      <xdr:col>15</xdr:col>
      <xdr:colOff>257175</xdr:colOff>
      <xdr:row>3</xdr:row>
      <xdr:rowOff>123825</xdr:rowOff>
    </xdr:to>
    <xdr:pic>
      <xdr:nvPicPr>
        <xdr:cNvPr id="92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85750"/>
          <a:ext cx="790575" cy="4572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15</xdr:col>
      <xdr:colOff>495300</xdr:colOff>
      <xdr:row>3</xdr:row>
      <xdr:rowOff>57150</xdr:rowOff>
    </xdr:to>
    <xdr:pic>
      <xdr:nvPicPr>
        <xdr:cNvPr id="1024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28700" cy="5429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xdr:row>
      <xdr:rowOff>123825</xdr:rowOff>
    </xdr:from>
    <xdr:to>
      <xdr:col>9</xdr:col>
      <xdr:colOff>257175</xdr:colOff>
      <xdr:row>3</xdr:row>
      <xdr:rowOff>123825</xdr:rowOff>
    </xdr:to>
    <xdr:pic>
      <xdr:nvPicPr>
        <xdr:cNvPr id="1127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85750"/>
          <a:ext cx="790575" cy="4572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15</xdr:col>
      <xdr:colOff>495300</xdr:colOff>
      <xdr:row>3</xdr:row>
      <xdr:rowOff>57150</xdr:rowOff>
    </xdr:to>
    <xdr:pic>
      <xdr:nvPicPr>
        <xdr:cNvPr id="1229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28700" cy="5429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1</xdr:row>
      <xdr:rowOff>123825</xdr:rowOff>
    </xdr:from>
    <xdr:to>
      <xdr:col>9</xdr:col>
      <xdr:colOff>257175</xdr:colOff>
      <xdr:row>3</xdr:row>
      <xdr:rowOff>123825</xdr:rowOff>
    </xdr:to>
    <xdr:pic>
      <xdr:nvPicPr>
        <xdr:cNvPr id="1332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85750"/>
          <a:ext cx="790575" cy="4572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16</xdr:col>
      <xdr:colOff>495300</xdr:colOff>
      <xdr:row>3</xdr:row>
      <xdr:rowOff>57150</xdr:rowOff>
    </xdr:to>
    <xdr:pic>
      <xdr:nvPicPr>
        <xdr:cNvPr id="1434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28700" cy="5429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1</xdr:row>
      <xdr:rowOff>123825</xdr:rowOff>
    </xdr:from>
    <xdr:to>
      <xdr:col>13</xdr:col>
      <xdr:colOff>257175</xdr:colOff>
      <xdr:row>3</xdr:row>
      <xdr:rowOff>123825</xdr:rowOff>
    </xdr:to>
    <xdr:pic>
      <xdr:nvPicPr>
        <xdr:cNvPr id="1536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85750"/>
          <a:ext cx="790575" cy="457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Hoja1">
    <tabColor rgb="FFFF0000"/>
    <pageSetUpPr fitToPage="1"/>
  </sheetPr>
  <dimension ref="A1:AE186"/>
  <sheetViews>
    <sheetView tabSelected="1" workbookViewId="0">
      <selection activeCell="D9" sqref="D9"/>
    </sheetView>
  </sheetViews>
  <sheetFormatPr baseColWidth="10" defaultColWidth="0" defaultRowHeight="12.75" zeroHeight="1"/>
  <cols>
    <col min="1" max="1" width="6.6640625" style="365" customWidth="1"/>
    <col min="2" max="2" width="18.83203125" style="366" customWidth="1"/>
    <col min="3" max="3" width="20" style="366" customWidth="1"/>
    <col min="4" max="4" width="25.1640625" style="366" customWidth="1"/>
    <col min="5" max="5" width="20.5" style="366" customWidth="1"/>
    <col min="6" max="6" width="21.33203125" style="366" customWidth="1"/>
    <col min="7" max="7" width="21" style="366" customWidth="1"/>
    <col min="8" max="8" width="20.5" style="366" customWidth="1"/>
    <col min="9" max="9" width="5.6640625" style="366" customWidth="1"/>
    <col min="10" max="16" width="5" style="366" customWidth="1"/>
    <col min="17" max="17" width="16.83203125" style="366" hidden="1"/>
    <col min="18" max="18" width="14.1640625" style="366" hidden="1"/>
    <col min="19" max="19" width="6.1640625" style="366" hidden="1"/>
    <col min="20" max="22" width="12" style="366" hidden="1"/>
    <col min="23" max="23" width="44.83203125" style="366" hidden="1"/>
    <col min="24" max="24" width="12.5" style="366" hidden="1"/>
    <col min="25" max="16384" width="12" style="366" hidden="1"/>
  </cols>
  <sheetData>
    <row r="1" spans="2:31">
      <c r="B1" s="365"/>
      <c r="C1" s="365"/>
      <c r="D1" s="365"/>
      <c r="E1" s="365"/>
      <c r="F1" s="365"/>
      <c r="G1" s="365"/>
      <c r="H1" s="365"/>
      <c r="I1" s="365"/>
      <c r="J1" s="375"/>
      <c r="K1" s="375"/>
      <c r="L1" s="375"/>
      <c r="M1" s="375"/>
      <c r="N1" s="375"/>
      <c r="O1" s="375"/>
      <c r="P1" s="375"/>
      <c r="Q1" s="375"/>
      <c r="R1" s="375"/>
      <c r="S1" s="375"/>
    </row>
    <row r="2" spans="2:31">
      <c r="B2" s="365"/>
      <c r="C2" s="365"/>
      <c r="D2" s="365"/>
      <c r="E2" s="365"/>
      <c r="F2" s="365"/>
      <c r="G2" s="365"/>
      <c r="H2" s="365"/>
      <c r="I2" s="365"/>
      <c r="J2" s="375"/>
      <c r="K2" s="375"/>
      <c r="L2" s="375"/>
      <c r="M2" s="375"/>
      <c r="N2" s="375"/>
      <c r="O2" s="375"/>
      <c r="P2" s="375"/>
      <c r="Q2" s="375"/>
      <c r="R2" s="375"/>
      <c r="S2" s="375"/>
    </row>
    <row r="3" spans="2:31">
      <c r="B3" s="365"/>
      <c r="C3" s="365"/>
      <c r="D3" s="365"/>
      <c r="E3" s="365"/>
      <c r="F3" s="365"/>
      <c r="G3" s="365"/>
      <c r="H3" s="365"/>
      <c r="I3" s="365"/>
      <c r="J3" s="375"/>
      <c r="K3" s="375"/>
      <c r="L3" s="375"/>
      <c r="M3" s="375"/>
      <c r="N3" s="375"/>
      <c r="O3" s="375"/>
      <c r="P3" s="375"/>
      <c r="Q3" s="375" t="s">
        <v>196</v>
      </c>
      <c r="R3" s="371" t="s">
        <v>197</v>
      </c>
      <c r="S3" s="375"/>
    </row>
    <row r="4" spans="2:31" ht="15.75">
      <c r="B4" s="887" t="s">
        <v>200</v>
      </c>
      <c r="C4" s="887"/>
      <c r="D4" s="887"/>
      <c r="E4" s="887"/>
      <c r="F4" s="887"/>
      <c r="G4" s="887"/>
      <c r="H4" s="887"/>
      <c r="I4" s="365"/>
      <c r="J4" s="375"/>
      <c r="K4" s="375"/>
      <c r="L4" s="375"/>
      <c r="M4" s="375"/>
      <c r="N4" s="375"/>
      <c r="O4" s="375"/>
      <c r="P4" s="375"/>
      <c r="Q4" s="375"/>
      <c r="R4" s="375"/>
      <c r="S4" s="375"/>
    </row>
    <row r="5" spans="2:31" ht="15.75">
      <c r="B5" s="878" t="s">
        <v>207</v>
      </c>
      <c r="C5" s="878"/>
      <c r="D5" s="878"/>
      <c r="E5" s="878"/>
      <c r="F5" s="878"/>
      <c r="G5" s="878"/>
      <c r="H5" s="878"/>
      <c r="I5" s="365"/>
      <c r="J5" s="375"/>
      <c r="K5" s="375"/>
      <c r="L5" s="375"/>
      <c r="M5" s="375"/>
      <c r="N5" s="375"/>
      <c r="O5" s="375"/>
      <c r="P5" s="375"/>
      <c r="Q5" s="866" t="s">
        <v>120</v>
      </c>
      <c r="R5" s="866"/>
      <c r="S5" s="375"/>
    </row>
    <row r="6" spans="2:31" ht="15.75">
      <c r="B6" s="746"/>
      <c r="C6" s="746"/>
      <c r="D6" s="746"/>
      <c r="E6" s="746"/>
      <c r="F6" s="746"/>
      <c r="G6" s="746"/>
      <c r="H6" s="746"/>
      <c r="I6" s="365"/>
      <c r="J6" s="375"/>
      <c r="K6" s="375"/>
      <c r="L6" s="375"/>
      <c r="M6" s="375"/>
      <c r="N6" s="375"/>
      <c r="O6" s="375"/>
      <c r="P6" s="375"/>
      <c r="Q6" s="738">
        <f>IF(R3="no","",'Cotizador AXA Un año'!C19)</f>
        <v>9894.7303999999986</v>
      </c>
      <c r="R6" s="735" t="s">
        <v>140</v>
      </c>
      <c r="S6" s="375"/>
    </row>
    <row r="7" spans="2:31" ht="15.75">
      <c r="B7" s="746"/>
      <c r="C7" s="746"/>
      <c r="D7" s="746"/>
      <c r="E7" s="746"/>
      <c r="F7" s="746"/>
      <c r="G7" s="746"/>
      <c r="H7" s="746"/>
      <c r="I7" s="365"/>
      <c r="J7" s="375"/>
      <c r="K7" s="375"/>
      <c r="L7" s="375"/>
      <c r="M7" s="375"/>
      <c r="N7" s="375"/>
      <c r="O7" s="375"/>
      <c r="P7" s="375"/>
      <c r="Q7" s="739">
        <f>IF(R3="no","",'Selector GNP'!B16)</f>
        <v>14368.862000000001</v>
      </c>
      <c r="R7" s="736" t="s">
        <v>145</v>
      </c>
      <c r="S7" s="375"/>
      <c r="U7" s="860" t="s">
        <v>640</v>
      </c>
      <c r="V7" s="860"/>
      <c r="W7" s="860"/>
      <c r="X7" s="860"/>
      <c r="Y7" s="637" t="s">
        <v>641</v>
      </c>
      <c r="Z7" s="638" t="s">
        <v>642</v>
      </c>
      <c r="AC7" s="851" t="s">
        <v>647</v>
      </c>
      <c r="AD7" s="851"/>
      <c r="AE7" s="851"/>
    </row>
    <row r="8" spans="2:31">
      <c r="B8" s="365"/>
      <c r="C8" s="365"/>
      <c r="D8" s="365"/>
      <c r="E8" s="365"/>
      <c r="F8" s="365"/>
      <c r="G8" s="365"/>
      <c r="H8" s="365"/>
      <c r="I8" s="365"/>
      <c r="J8" s="375"/>
      <c r="K8" s="375"/>
      <c r="L8" s="375"/>
      <c r="M8" s="375"/>
      <c r="N8" s="375"/>
      <c r="O8" s="375"/>
      <c r="P8" s="375"/>
      <c r="Q8" s="740">
        <f>IF(R3="no","",IF(ISERROR('Cotizador QT'!$X$33),"No cotiza",'Cotizador QT'!$X$33))</f>
        <v>10505.7024</v>
      </c>
      <c r="R8" s="737" t="s">
        <v>289</v>
      </c>
      <c r="S8" s="375"/>
      <c r="U8" s="634" t="s">
        <v>129</v>
      </c>
      <c r="V8" s="634">
        <v>1</v>
      </c>
      <c r="W8" s="634" t="str">
        <f ca="1">IF($G$9&lt;=$Q$36,U8,"")</f>
        <v>ECOSPORT</v>
      </c>
      <c r="X8" s="634" t="s">
        <v>65</v>
      </c>
      <c r="Y8" s="636">
        <v>2013</v>
      </c>
      <c r="Z8" s="388" t="s">
        <v>197</v>
      </c>
      <c r="AA8" s="367">
        <f>IF(R3="si",D19-12,D19)</f>
        <v>48</v>
      </c>
      <c r="AC8" s="642">
        <v>1</v>
      </c>
      <c r="AD8" s="642" t="s">
        <v>209</v>
      </c>
      <c r="AE8" s="642">
        <v>1</v>
      </c>
    </row>
    <row r="9" spans="2:31">
      <c r="B9" s="365"/>
      <c r="C9" s="365" t="s">
        <v>116</v>
      </c>
      <c r="D9" s="651" t="s">
        <v>46</v>
      </c>
      <c r="E9" s="365"/>
      <c r="F9" s="374" t="s">
        <v>204</v>
      </c>
      <c r="G9" s="888">
        <f ca="1">TODAY()</f>
        <v>41946</v>
      </c>
      <c r="H9" s="888"/>
      <c r="I9" s="365"/>
      <c r="J9" s="375"/>
      <c r="K9" s="375"/>
      <c r="L9" s="375"/>
      <c r="M9" s="375"/>
      <c r="N9" s="375"/>
      <c r="O9" s="375"/>
      <c r="P9" s="375"/>
      <c r="Q9" s="375"/>
      <c r="R9" s="375"/>
      <c r="S9" s="375"/>
      <c r="U9" s="634" t="s">
        <v>105</v>
      </c>
      <c r="V9" s="634">
        <v>1</v>
      </c>
      <c r="W9" s="634" t="str">
        <f t="shared" ref="W9:W30" ca="1" si="0">IF($G$9&lt;=$Q$36,U9,"")</f>
        <v>EDGE</v>
      </c>
      <c r="X9" s="634" t="s">
        <v>65</v>
      </c>
      <c r="Y9" s="636">
        <v>2014</v>
      </c>
      <c r="Z9" s="388" t="s">
        <v>198</v>
      </c>
      <c r="AC9" s="642">
        <v>2</v>
      </c>
      <c r="AD9" s="642" t="s">
        <v>210</v>
      </c>
      <c r="AE9" s="642">
        <v>2</v>
      </c>
    </row>
    <row r="10" spans="2:31">
      <c r="B10" s="365"/>
      <c r="C10" s="365"/>
      <c r="D10" s="365"/>
      <c r="E10" s="365"/>
      <c r="F10" s="365"/>
      <c r="G10" s="365"/>
      <c r="H10" s="365"/>
      <c r="I10" s="365"/>
      <c r="J10" s="375"/>
      <c r="K10" s="375"/>
      <c r="L10" s="375"/>
      <c r="M10" s="375"/>
      <c r="N10" s="375"/>
      <c r="O10" s="375"/>
      <c r="P10" s="375"/>
      <c r="Q10" s="375"/>
      <c r="R10" s="375"/>
      <c r="S10" s="375"/>
      <c r="U10" s="634" t="s">
        <v>17</v>
      </c>
      <c r="V10" s="634">
        <v>1</v>
      </c>
      <c r="W10" s="634" t="str">
        <f t="shared" ca="1" si="0"/>
        <v>ESCAPE</v>
      </c>
      <c r="X10" s="634" t="s">
        <v>65</v>
      </c>
      <c r="Y10" s="636">
        <v>2015</v>
      </c>
      <c r="AC10" s="642">
        <v>3</v>
      </c>
      <c r="AD10" s="642" t="s">
        <v>211</v>
      </c>
      <c r="AE10" s="642">
        <v>3</v>
      </c>
    </row>
    <row r="11" spans="2:31">
      <c r="B11" s="365"/>
      <c r="C11" s="365" t="s">
        <v>119</v>
      </c>
      <c r="D11" s="651" t="s">
        <v>664</v>
      </c>
      <c r="E11" s="365"/>
      <c r="F11" s="365" t="s">
        <v>650</v>
      </c>
      <c r="G11" s="895"/>
      <c r="H11" s="896"/>
      <c r="I11" s="365"/>
      <c r="J11" s="375"/>
      <c r="K11" s="375"/>
      <c r="L11" s="375"/>
      <c r="M11" s="375"/>
      <c r="N11" s="375"/>
      <c r="O11" s="375"/>
      <c r="P11" s="375"/>
      <c r="Q11" s="866" t="s">
        <v>195</v>
      </c>
      <c r="R11" s="866"/>
      <c r="S11" s="375"/>
      <c r="U11" s="634" t="s">
        <v>11</v>
      </c>
      <c r="V11" s="634">
        <v>1</v>
      </c>
      <c r="W11" s="634" t="str">
        <f t="shared" ca="1" si="0"/>
        <v>EXPEDITION</v>
      </c>
      <c r="X11" s="634" t="s">
        <v>65</v>
      </c>
      <c r="Y11" s="636">
        <v>2016</v>
      </c>
      <c r="AC11" s="642">
        <v>4</v>
      </c>
      <c r="AD11" s="642" t="s">
        <v>212</v>
      </c>
      <c r="AE11" s="642">
        <v>4</v>
      </c>
    </row>
    <row r="12" spans="2:31">
      <c r="B12" s="365"/>
      <c r="C12" s="365"/>
      <c r="D12" s="370"/>
      <c r="E12" s="364"/>
      <c r="F12" s="365" t="s">
        <v>522</v>
      </c>
      <c r="G12" s="889"/>
      <c r="H12" s="890"/>
      <c r="I12" s="365"/>
      <c r="J12" s="375"/>
      <c r="K12" s="375"/>
      <c r="L12" s="375"/>
      <c r="M12" s="375"/>
      <c r="N12" s="375"/>
      <c r="O12" s="375"/>
      <c r="P12" s="375"/>
      <c r="Q12" s="372">
        <f>MIN(Q6:Q8)</f>
        <v>9894.7303999999986</v>
      </c>
      <c r="R12" s="373" t="str">
        <f>D28</f>
        <v>AXA</v>
      </c>
      <c r="S12" s="375"/>
      <c r="U12" s="634" t="s">
        <v>1</v>
      </c>
      <c r="V12" s="634">
        <v>1</v>
      </c>
      <c r="W12" s="634" t="str">
        <f t="shared" ca="1" si="0"/>
        <v>EXPLORER</v>
      </c>
      <c r="X12" s="634" t="s">
        <v>65</v>
      </c>
      <c r="AC12" s="642">
        <v>5</v>
      </c>
      <c r="AD12" s="642" t="s">
        <v>213</v>
      </c>
      <c r="AE12" s="642">
        <v>5</v>
      </c>
    </row>
    <row r="13" spans="2:31">
      <c r="B13" s="365"/>
      <c r="C13" s="366" t="s">
        <v>645</v>
      </c>
      <c r="D13" s="651" t="s">
        <v>665</v>
      </c>
      <c r="E13" s="363"/>
      <c r="F13" s="365" t="s">
        <v>523</v>
      </c>
      <c r="G13" s="889"/>
      <c r="H13" s="890"/>
      <c r="I13" s="365"/>
      <c r="J13" s="375"/>
      <c r="K13" s="375"/>
      <c r="L13" s="375"/>
      <c r="M13" s="375"/>
      <c r="N13" s="375"/>
      <c r="O13" s="375"/>
      <c r="P13" s="375"/>
      <c r="Q13" s="375"/>
      <c r="R13" s="375"/>
      <c r="S13" s="375"/>
      <c r="U13" s="634" t="s">
        <v>13</v>
      </c>
      <c r="V13" s="634">
        <v>1</v>
      </c>
      <c r="W13" s="634" t="str">
        <f t="shared" ca="1" si="0"/>
        <v>FIESTA</v>
      </c>
      <c r="X13" s="634" t="s">
        <v>65</v>
      </c>
      <c r="AC13" s="642">
        <v>6</v>
      </c>
      <c r="AD13" s="642" t="s">
        <v>214</v>
      </c>
      <c r="AE13" s="642">
        <v>6</v>
      </c>
    </row>
    <row r="14" spans="2:31">
      <c r="B14" s="365"/>
      <c r="C14" s="365"/>
      <c r="D14" s="370"/>
      <c r="E14" s="363"/>
      <c r="F14" s="365" t="s">
        <v>360</v>
      </c>
      <c r="G14" s="889"/>
      <c r="H14" s="890"/>
      <c r="I14" s="365"/>
      <c r="J14" s="375"/>
      <c r="K14" s="375"/>
      <c r="L14" s="375"/>
      <c r="M14" s="375"/>
      <c r="N14" s="375"/>
      <c r="O14" s="375"/>
      <c r="P14" s="375"/>
      <c r="Q14" s="375"/>
      <c r="R14" s="375"/>
      <c r="S14" s="375"/>
      <c r="U14" s="634" t="s">
        <v>15</v>
      </c>
      <c r="V14" s="634">
        <v>1</v>
      </c>
      <c r="W14" s="634" t="str">
        <f t="shared" ca="1" si="0"/>
        <v>FOCUS</v>
      </c>
      <c r="X14" s="634" t="s">
        <v>65</v>
      </c>
      <c r="AA14" s="388">
        <f ca="1">DAY(G9)</f>
        <v>3</v>
      </c>
      <c r="AC14" s="642">
        <v>7</v>
      </c>
      <c r="AD14" s="642" t="s">
        <v>215</v>
      </c>
      <c r="AE14" s="642">
        <v>7</v>
      </c>
    </row>
    <row r="15" spans="2:31">
      <c r="B15" s="365"/>
      <c r="C15" s="365" t="s">
        <v>118</v>
      </c>
      <c r="D15" s="778">
        <v>2015</v>
      </c>
      <c r="E15" s="363"/>
      <c r="F15" s="365" t="s">
        <v>524</v>
      </c>
      <c r="G15" s="889"/>
      <c r="H15" s="890"/>
      <c r="I15" s="365"/>
      <c r="J15" s="375"/>
      <c r="K15" s="375"/>
      <c r="L15" s="375"/>
      <c r="M15" s="375"/>
      <c r="N15" s="375"/>
      <c r="O15" s="375"/>
      <c r="P15" s="375"/>
      <c r="Q15" s="375"/>
      <c r="R15" s="375"/>
      <c r="S15" s="375"/>
      <c r="U15" s="634" t="s">
        <v>104</v>
      </c>
      <c r="V15" s="634">
        <v>1</v>
      </c>
      <c r="W15" s="634" t="str">
        <f t="shared" ca="1" si="0"/>
        <v>FUSION</v>
      </c>
      <c r="X15" s="634" t="s">
        <v>65</v>
      </c>
      <c r="AC15" s="642">
        <v>8</v>
      </c>
      <c r="AD15" s="642" t="s">
        <v>216</v>
      </c>
      <c r="AE15" s="642">
        <v>8</v>
      </c>
    </row>
    <row r="16" spans="2:31">
      <c r="B16" s="365"/>
      <c r="C16" s="365"/>
      <c r="D16" s="370"/>
      <c r="E16" s="363"/>
      <c r="F16" s="365" t="s">
        <v>253</v>
      </c>
      <c r="G16" s="889">
        <v>11</v>
      </c>
      <c r="H16" s="890"/>
      <c r="I16" s="365"/>
      <c r="J16" s="375"/>
      <c r="K16" s="375"/>
      <c r="L16" s="375"/>
      <c r="M16" s="375"/>
      <c r="N16" s="375"/>
      <c r="O16" s="375"/>
      <c r="P16" s="375"/>
      <c r="Q16" s="375"/>
      <c r="R16" s="375"/>
      <c r="S16" s="375"/>
      <c r="U16" s="634" t="s">
        <v>20</v>
      </c>
      <c r="V16" s="634">
        <v>1</v>
      </c>
      <c r="W16" s="634" t="str">
        <f t="shared" ca="1" si="0"/>
        <v>IKON</v>
      </c>
      <c r="X16" s="634" t="s">
        <v>65</v>
      </c>
      <c r="AC16" s="642">
        <v>9</v>
      </c>
      <c r="AD16" s="642" t="s">
        <v>217</v>
      </c>
      <c r="AE16" s="642">
        <v>9</v>
      </c>
    </row>
    <row r="17" spans="2:31">
      <c r="B17" s="365"/>
      <c r="C17" s="365" t="s">
        <v>117</v>
      </c>
      <c r="D17" s="652">
        <v>184100</v>
      </c>
      <c r="E17" s="363"/>
      <c r="F17" s="365" t="s">
        <v>203</v>
      </c>
      <c r="G17" s="891" t="str">
        <f>VLOOKUP(G16,$V$71:$W$186,2,FALSE)</f>
        <v>Autokam Automotriz</v>
      </c>
      <c r="H17" s="892"/>
      <c r="I17" s="365"/>
      <c r="J17" s="375"/>
      <c r="K17" s="375"/>
      <c r="L17" s="375"/>
      <c r="M17" s="375"/>
      <c r="N17" s="375"/>
      <c r="O17" s="375"/>
      <c r="P17" s="375"/>
      <c r="Q17" s="375"/>
      <c r="R17" s="375"/>
      <c r="S17" s="375"/>
      <c r="U17" s="635" t="s">
        <v>155</v>
      </c>
      <c r="V17" s="634">
        <v>1</v>
      </c>
      <c r="W17" s="634" t="str">
        <f t="shared" ca="1" si="0"/>
        <v>LINCOLN MKZ</v>
      </c>
      <c r="X17" s="634" t="s">
        <v>65</v>
      </c>
      <c r="AC17" s="642">
        <v>10</v>
      </c>
      <c r="AD17" s="642" t="s">
        <v>218</v>
      </c>
      <c r="AE17" s="642">
        <v>10</v>
      </c>
    </row>
    <row r="18" spans="2:31">
      <c r="B18" s="365"/>
      <c r="C18" s="365"/>
      <c r="D18" s="370"/>
      <c r="E18" s="363"/>
      <c r="F18" s="365" t="s">
        <v>202</v>
      </c>
      <c r="G18" s="893"/>
      <c r="H18" s="894"/>
      <c r="I18" s="365"/>
      <c r="J18" s="375"/>
      <c r="K18" s="375"/>
      <c r="L18" s="375"/>
      <c r="M18" s="375"/>
      <c r="N18" s="375"/>
      <c r="O18" s="375"/>
      <c r="P18" s="375"/>
      <c r="Q18" s="375"/>
      <c r="R18" s="375"/>
      <c r="S18" s="375"/>
      <c r="U18" s="635" t="s">
        <v>154</v>
      </c>
      <c r="V18" s="634">
        <v>1</v>
      </c>
      <c r="W18" s="634" t="str">
        <f t="shared" ca="1" si="0"/>
        <v>LINCOLN MKS</v>
      </c>
      <c r="X18" s="634" t="s">
        <v>65</v>
      </c>
      <c r="AA18" s="391">
        <f>DAY(Q32)</f>
        <v>20</v>
      </c>
      <c r="AB18" s="391"/>
      <c r="AC18" s="642">
        <v>11</v>
      </c>
      <c r="AD18" s="642" t="s">
        <v>219</v>
      </c>
      <c r="AE18" s="642">
        <v>11</v>
      </c>
    </row>
    <row r="19" spans="2:31">
      <c r="B19" s="365"/>
      <c r="C19" s="365" t="s">
        <v>199</v>
      </c>
      <c r="D19" s="778">
        <v>60</v>
      </c>
      <c r="E19" s="363"/>
      <c r="F19" s="365"/>
      <c r="G19" s="365"/>
      <c r="H19" s="365"/>
      <c r="I19" s="365"/>
      <c r="J19" s="375"/>
      <c r="K19" s="375"/>
      <c r="L19" s="375"/>
      <c r="M19" s="375"/>
      <c r="N19" s="375"/>
      <c r="O19" s="375"/>
      <c r="P19" s="375"/>
      <c r="Q19" s="375"/>
      <c r="R19" s="375"/>
      <c r="S19" s="375"/>
      <c r="U19" s="635" t="s">
        <v>151</v>
      </c>
      <c r="V19" s="634">
        <v>1</v>
      </c>
      <c r="W19" s="634" t="str">
        <f t="shared" ca="1" si="0"/>
        <v>LINCOLN MKX</v>
      </c>
      <c r="X19" s="634" t="s">
        <v>65</v>
      </c>
      <c r="AA19" s="391">
        <f>MONTH(Q32)</f>
        <v>11</v>
      </c>
      <c r="AB19" s="391"/>
      <c r="AC19" s="642">
        <v>12</v>
      </c>
      <c r="AD19" s="642" t="s">
        <v>220</v>
      </c>
      <c r="AE19" s="642">
        <v>12</v>
      </c>
    </row>
    <row r="20" spans="2:31">
      <c r="B20" s="365"/>
      <c r="C20" s="365"/>
      <c r="D20" s="365"/>
      <c r="E20" s="363"/>
      <c r="F20" s="365"/>
      <c r="G20" s="365"/>
      <c r="H20" s="365"/>
      <c r="I20" s="365"/>
      <c r="J20" s="375"/>
      <c r="K20" s="375"/>
      <c r="L20" s="375"/>
      <c r="M20" s="375"/>
      <c r="N20" s="375"/>
      <c r="O20" s="375"/>
      <c r="P20" s="375"/>
      <c r="Q20" s="375"/>
      <c r="R20" s="375"/>
      <c r="S20" s="375"/>
      <c r="U20" s="634" t="s">
        <v>7</v>
      </c>
      <c r="V20" s="634">
        <v>1</v>
      </c>
      <c r="W20" s="634" t="str">
        <f t="shared" ca="1" si="0"/>
        <v>MUSTANG</v>
      </c>
      <c r="X20" s="634" t="s">
        <v>65</v>
      </c>
      <c r="AA20" s="391"/>
      <c r="AB20" s="391"/>
      <c r="AC20" s="642">
        <v>13</v>
      </c>
      <c r="AD20" s="642" t="s">
        <v>209</v>
      </c>
      <c r="AE20" s="642">
        <v>13</v>
      </c>
    </row>
    <row r="21" spans="2:31" ht="13.5" thickBot="1">
      <c r="B21" s="365"/>
      <c r="C21" s="365"/>
      <c r="D21" s="858" t="s">
        <v>651</v>
      </c>
      <c r="E21" s="859"/>
      <c r="F21" s="859"/>
      <c r="G21" s="365"/>
      <c r="H21" s="365"/>
      <c r="I21" s="365"/>
      <c r="J21" s="375"/>
      <c r="K21" s="375"/>
      <c r="L21" s="375"/>
      <c r="M21" s="375"/>
      <c r="N21" s="375"/>
      <c r="O21" s="375"/>
      <c r="P21" s="375"/>
      <c r="Q21" s="375"/>
      <c r="R21" s="375"/>
      <c r="S21" s="375"/>
      <c r="U21" s="634" t="s">
        <v>50</v>
      </c>
      <c r="V21" s="634">
        <v>2</v>
      </c>
      <c r="W21" s="634" t="str">
        <f t="shared" ca="1" si="0"/>
        <v>COURIER</v>
      </c>
      <c r="X21" s="634" t="s">
        <v>147</v>
      </c>
      <c r="AA21" s="391">
        <f>IF(AA18&lt;=15,AA19,AA19+1)</f>
        <v>12</v>
      </c>
      <c r="AB21" s="391" t="str">
        <f>VLOOKUP(AA21,$AC$8:$AD$125,2,FALSE)</f>
        <v>Diciembre</v>
      </c>
      <c r="AC21" s="642"/>
      <c r="AD21" s="642"/>
      <c r="AE21" s="642">
        <v>14</v>
      </c>
    </row>
    <row r="22" spans="2:31" ht="13.5" thickBot="1">
      <c r="B22" s="365"/>
      <c r="C22" s="365"/>
      <c r="D22" s="639" t="s">
        <v>644</v>
      </c>
      <c r="E22" s="639" t="s">
        <v>435</v>
      </c>
      <c r="F22" s="639" t="s">
        <v>436</v>
      </c>
      <c r="G22" s="365"/>
      <c r="H22" s="365"/>
      <c r="I22" s="365"/>
      <c r="J22" s="375"/>
      <c r="K22" s="375"/>
      <c r="L22" s="375"/>
      <c r="M22" s="375"/>
      <c r="N22" s="375"/>
      <c r="O22" s="375"/>
      <c r="P22" s="375"/>
      <c r="Q22" s="375"/>
      <c r="R22" s="375"/>
      <c r="S22" s="375"/>
      <c r="U22" s="634" t="s">
        <v>42</v>
      </c>
      <c r="V22" s="634">
        <v>2</v>
      </c>
      <c r="W22" s="634" t="str">
        <f t="shared" ca="1" si="0"/>
        <v>ECONOLINE</v>
      </c>
      <c r="X22" s="634" t="s">
        <v>147</v>
      </c>
      <c r="AC22" s="642"/>
      <c r="AD22" s="642"/>
      <c r="AE22" s="642">
        <v>15</v>
      </c>
    </row>
    <row r="23" spans="2:31" ht="13.5" thickBot="1">
      <c r="B23" s="365"/>
      <c r="C23" s="365"/>
      <c r="D23" s="653">
        <v>20</v>
      </c>
      <c r="E23" s="653" t="s">
        <v>219</v>
      </c>
      <c r="F23" s="653">
        <v>2014</v>
      </c>
      <c r="G23" s="365"/>
      <c r="H23" s="365"/>
      <c r="I23" s="365"/>
      <c r="J23" s="375"/>
      <c r="K23" s="375"/>
      <c r="L23" s="375"/>
      <c r="M23" s="375"/>
      <c r="N23" s="375"/>
      <c r="O23" s="375"/>
      <c r="P23" s="375"/>
      <c r="Q23" s="375"/>
      <c r="R23" s="375"/>
      <c r="S23" s="375"/>
      <c r="U23" s="634" t="s">
        <v>44</v>
      </c>
      <c r="V23" s="634">
        <v>2</v>
      </c>
      <c r="W23" s="634" t="str">
        <f t="shared" ca="1" si="0"/>
        <v>F-150</v>
      </c>
      <c r="X23" s="634" t="s">
        <v>147</v>
      </c>
      <c r="AC23" s="642"/>
      <c r="AD23" s="642"/>
      <c r="AE23" s="642">
        <v>16</v>
      </c>
    </row>
    <row r="24" spans="2:31">
      <c r="B24" s="365"/>
      <c r="C24" s="365"/>
      <c r="D24" s="365"/>
      <c r="E24" s="365"/>
      <c r="F24" s="365"/>
      <c r="G24" s="365"/>
      <c r="H24" s="365"/>
      <c r="I24" s="365"/>
      <c r="J24" s="375"/>
      <c r="K24" s="375"/>
      <c r="L24" s="375"/>
      <c r="M24" s="375"/>
      <c r="N24" s="375"/>
      <c r="O24" s="375"/>
      <c r="P24" s="375"/>
      <c r="Q24" s="375"/>
      <c r="R24" s="375"/>
      <c r="S24" s="375"/>
      <c r="U24" s="634" t="s">
        <v>46</v>
      </c>
      <c r="V24" s="634">
        <v>2</v>
      </c>
      <c r="W24" s="634" t="str">
        <f t="shared" ca="1" si="0"/>
        <v>F-250</v>
      </c>
      <c r="X24" s="634" t="s">
        <v>147</v>
      </c>
      <c r="AC24" s="642"/>
      <c r="AD24" s="642"/>
      <c r="AE24" s="642">
        <v>17</v>
      </c>
    </row>
    <row r="25" spans="2:31" ht="23.25">
      <c r="B25" s="881" t="s">
        <v>521</v>
      </c>
      <c r="C25" s="881"/>
      <c r="D25" s="881"/>
      <c r="E25" s="881"/>
      <c r="F25" s="881"/>
      <c r="G25" s="881"/>
      <c r="H25" s="881"/>
      <c r="I25" s="365"/>
      <c r="J25" s="375"/>
      <c r="K25" s="375"/>
      <c r="L25" s="375"/>
      <c r="M25" s="375"/>
      <c r="N25" s="375"/>
      <c r="O25" s="375"/>
      <c r="P25" s="375"/>
      <c r="Q25" s="375"/>
      <c r="R25" s="375"/>
      <c r="S25" s="375"/>
      <c r="U25" s="634" t="s">
        <v>52</v>
      </c>
      <c r="V25" s="634">
        <v>2</v>
      </c>
      <c r="W25" s="634" t="str">
        <f t="shared" ca="1" si="0"/>
        <v>F-350</v>
      </c>
      <c r="X25" s="634" t="s">
        <v>147</v>
      </c>
      <c r="AA25" s="621" t="s">
        <v>236</v>
      </c>
      <c r="AC25" s="642"/>
      <c r="AD25" s="642"/>
      <c r="AE25" s="642">
        <v>18</v>
      </c>
    </row>
    <row r="26" spans="2:31">
      <c r="B26" s="365"/>
      <c r="C26" s="365"/>
      <c r="D26" s="365"/>
      <c r="E26" s="365"/>
      <c r="F26" s="365"/>
      <c r="G26" s="365"/>
      <c r="H26" s="365"/>
      <c r="I26" s="365"/>
      <c r="J26" s="375"/>
      <c r="K26" s="375"/>
      <c r="L26" s="375"/>
      <c r="M26" s="375"/>
      <c r="N26" s="375"/>
      <c r="O26" s="375"/>
      <c r="P26" s="375"/>
      <c r="Q26" s="375"/>
      <c r="R26" s="375"/>
      <c r="S26" s="375"/>
      <c r="U26" s="634" t="s">
        <v>107</v>
      </c>
      <c r="V26" s="634">
        <v>2</v>
      </c>
      <c r="W26" s="634" t="str">
        <f t="shared" ca="1" si="0"/>
        <v>LINCOLN MARK LT</v>
      </c>
      <c r="X26" s="634" t="s">
        <v>147</v>
      </c>
      <c r="AA26" s="621" t="s">
        <v>36</v>
      </c>
      <c r="AC26" s="642"/>
      <c r="AD26" s="642"/>
      <c r="AE26" s="642">
        <v>19</v>
      </c>
    </row>
    <row r="27" spans="2:31" ht="13.5" thickBot="1">
      <c r="B27" s="365"/>
      <c r="C27" s="365"/>
      <c r="D27" s="854" t="s">
        <v>655</v>
      </c>
      <c r="E27" s="855"/>
      <c r="F27" s="855"/>
      <c r="G27" s="365"/>
      <c r="I27" s="365"/>
      <c r="J27" s="375"/>
      <c r="K27" s="375"/>
      <c r="L27" s="375"/>
      <c r="M27" s="375"/>
      <c r="N27" s="375"/>
      <c r="O27" s="375"/>
      <c r="P27" s="375"/>
      <c r="Q27" s="375"/>
      <c r="R27" s="375"/>
      <c r="S27" s="375"/>
      <c r="U27" s="634" t="s">
        <v>55</v>
      </c>
      <c r="V27" s="634">
        <v>2</v>
      </c>
      <c r="W27" s="634" t="str">
        <f t="shared" ca="1" si="0"/>
        <v>LOBO</v>
      </c>
      <c r="X27" s="634" t="s">
        <v>147</v>
      </c>
      <c r="AA27" s="621" t="s">
        <v>37</v>
      </c>
      <c r="AC27" s="642"/>
      <c r="AD27" s="642"/>
      <c r="AE27" s="642">
        <v>20</v>
      </c>
    </row>
    <row r="28" spans="2:31" ht="18.75">
      <c r="B28" s="365"/>
      <c r="C28" s="643"/>
      <c r="D28" s="856" t="str">
        <f>IF(ISERROR(VLOOKUP(Q12,$Q$6:$R$8,2,FALSE)),"Sin promoción",VLOOKUP(Q12,$Q$6:$R$8,2,FALSE))</f>
        <v>AXA</v>
      </c>
      <c r="E28" s="857"/>
      <c r="F28" s="857"/>
      <c r="G28" s="365"/>
      <c r="H28" s="365"/>
      <c r="I28" s="365"/>
      <c r="J28" s="375"/>
      <c r="K28" s="375"/>
      <c r="L28" s="375"/>
      <c r="M28" s="375"/>
      <c r="N28" s="375"/>
      <c r="O28" s="375"/>
      <c r="P28" s="375"/>
      <c r="Q28" s="375"/>
      <c r="R28" s="375"/>
      <c r="S28" s="375"/>
      <c r="U28" s="634" t="s">
        <v>150</v>
      </c>
      <c r="V28" s="634">
        <v>2</v>
      </c>
      <c r="W28" s="634" t="str">
        <f t="shared" ca="1" si="0"/>
        <v>RANGER</v>
      </c>
      <c r="X28" s="634" t="s">
        <v>147</v>
      </c>
      <c r="AA28" s="621" t="s">
        <v>38</v>
      </c>
      <c r="AC28" s="642"/>
      <c r="AD28" s="642"/>
      <c r="AE28" s="642">
        <v>21</v>
      </c>
    </row>
    <row r="29" spans="2:31">
      <c r="B29" s="365"/>
      <c r="C29" s="365"/>
      <c r="D29" s="365"/>
      <c r="E29" s="365"/>
      <c r="F29" s="365"/>
      <c r="G29" s="365"/>
      <c r="H29" s="365"/>
      <c r="I29" s="365"/>
      <c r="J29" s="375"/>
      <c r="K29" s="375"/>
      <c r="L29" s="375"/>
      <c r="M29" s="375"/>
      <c r="N29" s="375"/>
      <c r="O29" s="375"/>
      <c r="P29" s="375"/>
      <c r="Q29" s="375"/>
      <c r="R29" s="375"/>
      <c r="S29" s="375"/>
      <c r="U29" s="634" t="s">
        <v>112</v>
      </c>
      <c r="V29" s="634">
        <v>2</v>
      </c>
      <c r="W29" s="634" t="str">
        <f t="shared" ca="1" si="0"/>
        <v>TRANSIT PASAJEROS</v>
      </c>
      <c r="X29" s="634" t="s">
        <v>65</v>
      </c>
      <c r="AA29" s="621" t="s">
        <v>39</v>
      </c>
      <c r="AC29" s="642"/>
      <c r="AD29" s="642"/>
      <c r="AE29" s="642">
        <v>22</v>
      </c>
    </row>
    <row r="30" spans="2:31" ht="23.25">
      <c r="B30" s="879" t="s">
        <v>201</v>
      </c>
      <c r="C30" s="879"/>
      <c r="D30" s="879"/>
      <c r="E30" s="879"/>
      <c r="F30" s="879"/>
      <c r="G30" s="879"/>
      <c r="H30" s="879"/>
      <c r="I30" s="365"/>
      <c r="J30" s="375"/>
      <c r="K30" s="375"/>
      <c r="L30" s="375"/>
      <c r="M30" s="375"/>
      <c r="N30" s="375"/>
      <c r="O30" s="375"/>
      <c r="P30" s="375"/>
      <c r="Q30" s="375"/>
      <c r="R30" s="375"/>
      <c r="S30" s="375"/>
      <c r="U30" s="634" t="s">
        <v>111</v>
      </c>
      <c r="V30" s="634">
        <v>2</v>
      </c>
      <c r="W30" s="634" t="str">
        <f t="shared" ca="1" si="0"/>
        <v>TRANSIT VAN</v>
      </c>
      <c r="X30" s="634" t="s">
        <v>147</v>
      </c>
      <c r="AA30" s="621"/>
      <c r="AC30" s="642"/>
      <c r="AD30" s="642"/>
      <c r="AE30" s="642">
        <v>23</v>
      </c>
    </row>
    <row r="31" spans="2:31">
      <c r="B31" s="365"/>
      <c r="C31" s="365"/>
      <c r="D31" s="365"/>
      <c r="E31" s="365"/>
      <c r="F31" s="365"/>
      <c r="G31" s="365"/>
      <c r="H31" s="365"/>
      <c r="I31" s="365"/>
      <c r="J31" s="375"/>
      <c r="K31" s="375"/>
      <c r="L31" s="375"/>
      <c r="M31" s="375"/>
      <c r="N31" s="375"/>
      <c r="O31" s="375"/>
      <c r="P31" s="375"/>
      <c r="Q31" s="884" t="s">
        <v>643</v>
      </c>
      <c r="R31" s="885"/>
      <c r="S31" s="375"/>
      <c r="AC31" s="642"/>
      <c r="AD31" s="642"/>
      <c r="AE31" s="642">
        <v>24</v>
      </c>
    </row>
    <row r="32" spans="2:31">
      <c r="B32" s="365"/>
      <c r="D32" s="365"/>
      <c r="E32" s="365"/>
      <c r="F32" s="365"/>
      <c r="G32" s="365"/>
      <c r="H32" s="365"/>
      <c r="I32" s="365"/>
      <c r="J32" s="375"/>
      <c r="K32" s="375"/>
      <c r="L32" s="375"/>
      <c r="M32" s="375"/>
      <c r="N32" s="375"/>
      <c r="O32" s="375"/>
      <c r="P32" s="375"/>
      <c r="Q32" s="876">
        <f>W33</f>
        <v>41963</v>
      </c>
      <c r="R32" s="877"/>
      <c r="S32" s="375"/>
      <c r="V32" s="852" t="s">
        <v>648</v>
      </c>
      <c r="W32" s="852"/>
      <c r="X32" s="742"/>
      <c r="AC32" s="642"/>
      <c r="AD32" s="642"/>
      <c r="AE32" s="642">
        <v>25</v>
      </c>
    </row>
    <row r="33" spans="2:31" ht="13.5" thickBot="1">
      <c r="B33" s="365"/>
      <c r="C33" s="741" t="s">
        <v>146</v>
      </c>
      <c r="D33" s="623" t="s">
        <v>136</v>
      </c>
      <c r="E33" s="622" t="s">
        <v>499</v>
      </c>
      <c r="F33" s="622" t="s">
        <v>497</v>
      </c>
      <c r="G33" s="622" t="s">
        <v>498</v>
      </c>
      <c r="H33" s="622" t="s">
        <v>496</v>
      </c>
      <c r="I33" s="365"/>
      <c r="J33" s="375"/>
      <c r="K33" s="375"/>
      <c r="L33" s="375"/>
      <c r="M33" s="375"/>
      <c r="N33" s="375"/>
      <c r="O33" s="375"/>
      <c r="P33" s="375"/>
      <c r="Q33" s="375"/>
      <c r="R33" s="394"/>
      <c r="S33" s="375"/>
      <c r="V33" s="640">
        <f>VLOOKUP(E23,$AD$8:$AE$19,2,FALSE)</f>
        <v>11</v>
      </c>
      <c r="W33" s="641">
        <f>DATE(F23,V33,D23)</f>
        <v>41963</v>
      </c>
      <c r="X33" s="641"/>
      <c r="AC33" s="642"/>
      <c r="AD33" s="642"/>
      <c r="AE33" s="642">
        <v>26</v>
      </c>
    </row>
    <row r="34" spans="2:31">
      <c r="B34" s="365"/>
      <c r="C34" s="748" t="s">
        <v>73</v>
      </c>
      <c r="D34" s="749">
        <f>'Cotizador QT'!C17</f>
        <v>48</v>
      </c>
      <c r="E34" s="750">
        <f>'Cotizador QT'!D17</f>
        <v>48</v>
      </c>
      <c r="F34" s="750">
        <f>'Cotizador QT'!E17</f>
        <v>48</v>
      </c>
      <c r="G34" s="750">
        <f>'Cotizador QT'!F17</f>
        <v>48</v>
      </c>
      <c r="H34" s="750">
        <f>'Cotizador QT'!G17</f>
        <v>48</v>
      </c>
      <c r="I34" s="365"/>
      <c r="J34" s="375"/>
      <c r="K34" s="375"/>
      <c r="L34" s="375"/>
      <c r="M34" s="375"/>
      <c r="N34" s="375"/>
      <c r="O34" s="375"/>
      <c r="P34" s="375"/>
      <c r="Q34" s="375"/>
      <c r="R34" s="375"/>
      <c r="S34" s="375"/>
      <c r="AC34" s="642"/>
      <c r="AD34" s="642"/>
      <c r="AE34" s="642">
        <v>27</v>
      </c>
    </row>
    <row r="35" spans="2:31">
      <c r="B35" s="368"/>
      <c r="C35" s="751" t="s">
        <v>652</v>
      </c>
      <c r="D35" s="752">
        <f>'Cotizador QT'!C18</f>
        <v>1</v>
      </c>
      <c r="E35" s="753">
        <f>'Cotizador QT'!D18</f>
        <v>4</v>
      </c>
      <c r="F35" s="753">
        <f>'Cotizador QT'!E18</f>
        <v>8</v>
      </c>
      <c r="G35" s="753">
        <f>'Cotizador QT'!F18</f>
        <v>16</v>
      </c>
      <c r="H35" s="753">
        <f>'Cotizador QT'!G18</f>
        <v>48</v>
      </c>
      <c r="I35" s="365"/>
      <c r="J35" s="375"/>
      <c r="K35" s="375"/>
      <c r="L35" s="375"/>
      <c r="M35" s="375"/>
      <c r="N35" s="375"/>
      <c r="O35" s="375"/>
      <c r="P35" s="375"/>
      <c r="Q35" s="882" t="s">
        <v>646</v>
      </c>
      <c r="R35" s="883"/>
      <c r="S35" s="375"/>
      <c r="AC35" s="642"/>
      <c r="AD35" s="642"/>
      <c r="AE35" s="642">
        <v>28</v>
      </c>
    </row>
    <row r="36" spans="2:31">
      <c r="B36" s="365"/>
      <c r="C36" s="751" t="s">
        <v>70</v>
      </c>
      <c r="D36" s="754">
        <f>IF(ISERROR('Cotizador QT'!C19),"No cotiza",'Cotizador QT'!C19)</f>
        <v>34709.404000000002</v>
      </c>
      <c r="E36" s="755">
        <f>IF(ISERROR('Cotizador QT'!D19),"No cotiza",'Cotizador QT'!D19)</f>
        <v>10462.8944937</v>
      </c>
      <c r="F36" s="755">
        <f>IF(ISERROR('Cotizador QT'!E19),"No cotiza",'Cotizador QT'!E19)</f>
        <v>5404.26937705</v>
      </c>
      <c r="G36" s="755">
        <f>IF(ISERROR('Cotizador QT'!F19),"No cotiza",'Cotizador QT'!F19)</f>
        <v>2746.8374425000002</v>
      </c>
      <c r="H36" s="755">
        <f>IF(ISERROR('Cotizador QT'!G19),"No cotiza",'Cotizador QT'!G19)</f>
        <v>925.73654951666686</v>
      </c>
      <c r="I36" s="365"/>
      <c r="J36" s="375"/>
      <c r="K36" s="375"/>
      <c r="L36" s="375"/>
      <c r="M36" s="375"/>
      <c r="N36" s="375"/>
      <c r="O36" s="375"/>
      <c r="P36" s="375"/>
      <c r="Q36" s="876">
        <v>42004</v>
      </c>
      <c r="R36" s="877"/>
      <c r="S36" s="375"/>
      <c r="W36" s="369"/>
      <c r="X36" s="369"/>
      <c r="AC36" s="642"/>
      <c r="AD36" s="642"/>
      <c r="AE36" s="642">
        <v>29</v>
      </c>
    </row>
    <row r="37" spans="2:31">
      <c r="B37" s="365"/>
      <c r="C37" s="751" t="s">
        <v>71</v>
      </c>
      <c r="D37" s="754">
        <f>IF(ISERROR('Cotizador QT'!C20),"No cotiza",'Cotizador QT'!C20)</f>
        <v>34709.404000000002</v>
      </c>
      <c r="E37" s="755">
        <f>IF(ISERROR('Cotizador QT'!D20),"No cotiza",'Cotizador QT'!D20)</f>
        <v>41851.577974799999</v>
      </c>
      <c r="F37" s="755">
        <f>IF(ISERROR('Cotizador QT'!E20),"No cotiza",'Cotizador QT'!E20)</f>
        <v>43234.1550164</v>
      </c>
      <c r="G37" s="755">
        <f>IF(ISERROR('Cotizador QT'!F20),"No cotiza",'Cotizador QT'!F20)</f>
        <v>43949.399080000003</v>
      </c>
      <c r="H37" s="755">
        <f>IF(ISERROR('Cotizador QT'!G20),"No cotiza",'Cotizador QT'!G20)</f>
        <v>44435.354376800009</v>
      </c>
      <c r="I37" s="365"/>
      <c r="J37" s="375"/>
      <c r="K37" s="375"/>
      <c r="L37" s="375"/>
      <c r="M37" s="375"/>
      <c r="N37" s="375"/>
      <c r="O37" s="375"/>
      <c r="P37" s="375"/>
      <c r="Q37" s="375"/>
      <c r="R37" s="375"/>
      <c r="S37" s="375"/>
      <c r="W37" s="369"/>
      <c r="X37" s="369"/>
      <c r="AC37" s="642"/>
      <c r="AD37" s="642"/>
      <c r="AE37" s="642">
        <v>30</v>
      </c>
    </row>
    <row r="38" spans="2:31">
      <c r="B38" s="365"/>
      <c r="C38" s="861" t="str">
        <f>IF($Q$40="camion",$Q$41,"")</f>
        <v>La cotización con Quálitas es exclusiva para camiones con tipo de carga "A", si se requiere para otro tipo de carga es necesario que envíen solicitud de cotización a AON</v>
      </c>
      <c r="D38" s="861"/>
      <c r="E38" s="861"/>
      <c r="F38" s="861"/>
      <c r="G38" s="861"/>
      <c r="H38" s="861"/>
      <c r="I38" s="365"/>
      <c r="J38" s="375"/>
      <c r="K38" s="375"/>
      <c r="L38" s="375"/>
      <c r="M38" s="375"/>
      <c r="N38" s="375"/>
      <c r="O38" s="375"/>
      <c r="P38" s="375"/>
      <c r="Q38" s="375"/>
      <c r="R38" s="375"/>
      <c r="S38" s="375"/>
      <c r="AC38" s="642"/>
      <c r="AD38" s="642"/>
      <c r="AE38" s="642">
        <v>31</v>
      </c>
    </row>
    <row r="39" spans="2:31">
      <c r="B39" s="365"/>
      <c r="C39" s="862"/>
      <c r="D39" s="862"/>
      <c r="E39" s="862"/>
      <c r="F39" s="862"/>
      <c r="G39" s="862"/>
      <c r="H39" s="862"/>
      <c r="I39" s="365"/>
      <c r="J39" s="375"/>
      <c r="K39" s="375"/>
      <c r="L39" s="375"/>
      <c r="M39" s="375"/>
      <c r="N39" s="375"/>
      <c r="O39" s="375"/>
      <c r="P39" s="375"/>
      <c r="Q39" s="863" t="s">
        <v>654</v>
      </c>
      <c r="R39" s="863"/>
      <c r="S39" s="863"/>
    </row>
    <row r="40" spans="2:31" ht="13.5" thickBot="1">
      <c r="B40" s="365"/>
      <c r="C40" s="756" t="s">
        <v>140</v>
      </c>
      <c r="D40" s="757" t="s">
        <v>136</v>
      </c>
      <c r="E40" s="758" t="s">
        <v>499</v>
      </c>
      <c r="F40" s="758" t="s">
        <v>497</v>
      </c>
      <c r="G40" s="758" t="s">
        <v>498</v>
      </c>
      <c r="H40" s="758" t="s">
        <v>496</v>
      </c>
      <c r="I40" s="365"/>
      <c r="J40" s="375"/>
      <c r="K40" s="375"/>
      <c r="L40" s="375"/>
      <c r="M40" s="375"/>
      <c r="N40" s="375"/>
      <c r="O40" s="375"/>
      <c r="P40" s="375"/>
      <c r="Q40" s="747" t="str">
        <f>VLOOKUP(D9,$U$8:$X$30,4,FALSE)</f>
        <v>Camion</v>
      </c>
      <c r="R40" s="747"/>
      <c r="S40" s="747"/>
    </row>
    <row r="41" spans="2:31">
      <c r="B41" s="365"/>
      <c r="C41" s="759" t="s">
        <v>73</v>
      </c>
      <c r="D41" s="760">
        <f>'Cotizador AXA p2'!C17</f>
        <v>48</v>
      </c>
      <c r="E41" s="761">
        <f>'Cotizador AXA p2'!D17</f>
        <v>48</v>
      </c>
      <c r="F41" s="761">
        <f>'Cotizador AXA p2'!E17</f>
        <v>48</v>
      </c>
      <c r="G41" s="761">
        <f>'Cotizador AXA p2'!F17</f>
        <v>48</v>
      </c>
      <c r="H41" s="761">
        <f>'Cotizador AXA p2'!G17</f>
        <v>48</v>
      </c>
      <c r="I41" s="365"/>
      <c r="J41" s="375"/>
      <c r="K41" s="375"/>
      <c r="L41" s="375"/>
      <c r="M41" s="375"/>
      <c r="N41" s="375"/>
      <c r="O41" s="375"/>
      <c r="P41" s="375"/>
      <c r="Q41" s="747" t="s">
        <v>653</v>
      </c>
      <c r="R41" s="747"/>
      <c r="S41" s="747"/>
    </row>
    <row r="42" spans="2:31">
      <c r="B42" s="365"/>
      <c r="C42" s="762" t="s">
        <v>652</v>
      </c>
      <c r="D42" s="763">
        <f>'Cotizador AXA p2'!C18</f>
        <v>1</v>
      </c>
      <c r="E42" s="764">
        <f>'Cotizador AXA p2'!D18</f>
        <v>4</v>
      </c>
      <c r="F42" s="764">
        <f>'Cotizador AXA p2'!E18</f>
        <v>8</v>
      </c>
      <c r="G42" s="764">
        <f>'Cotizador AXA p2'!F18</f>
        <v>16</v>
      </c>
      <c r="H42" s="764">
        <f>'Cotizador AXA p2'!G18</f>
        <v>48</v>
      </c>
      <c r="I42" s="365"/>
      <c r="J42" s="375"/>
      <c r="K42" s="375"/>
      <c r="L42" s="375"/>
      <c r="M42" s="375"/>
      <c r="N42" s="375"/>
      <c r="O42" s="375"/>
      <c r="P42" s="375"/>
      <c r="Q42" s="747" t="s">
        <v>668</v>
      </c>
      <c r="R42" s="747"/>
      <c r="S42" s="747"/>
    </row>
    <row r="43" spans="2:31">
      <c r="B43" s="365"/>
      <c r="C43" s="762" t="s">
        <v>70</v>
      </c>
      <c r="D43" s="765">
        <f>IF(ISERROR('Cotizador AXA p2'!C19),"No Cotiza",'Cotizador AXA p2'!C19)</f>
        <v>36568.605600000003</v>
      </c>
      <c r="E43" s="766">
        <f>IF(ISERROR('Cotizador AXA p2'!D19),"No Cotiza",'Cotizador AXA p2'!D19)</f>
        <v>11669.1157</v>
      </c>
      <c r="F43" s="766">
        <f>IF(ISERROR('Cotizador AXA p2'!E19),"No Cotiza",'Cotizador AXA p2'!E19)</f>
        <v>6123.3857425000006</v>
      </c>
      <c r="G43" s="766">
        <f>IF(ISERROR('Cotizador AXA p2'!F19),"No Cotiza",'Cotizador AXA p2'!F19)</f>
        <v>3133.8998443750002</v>
      </c>
      <c r="H43" s="766">
        <f>IF(ISERROR('Cotizador AXA p2'!G19),"No Cotiza",'Cotizador AXA p2'!G19)</f>
        <v>1059.0746760833333</v>
      </c>
      <c r="I43" s="365"/>
      <c r="J43" s="375"/>
      <c r="K43" s="375"/>
      <c r="L43" s="375"/>
      <c r="M43" s="375"/>
      <c r="N43" s="375"/>
      <c r="O43" s="375"/>
      <c r="P43" s="375"/>
      <c r="Q43" s="747" t="s">
        <v>669</v>
      </c>
      <c r="R43" s="747"/>
      <c r="S43" s="747"/>
    </row>
    <row r="44" spans="2:31">
      <c r="B44" s="365"/>
      <c r="C44" s="762" t="s">
        <v>71</v>
      </c>
      <c r="D44" s="765">
        <f>IF(ISERROR('Cotizador AXA p2'!C20),"No Cotiza",'Cotizador AXA p2'!C20)</f>
        <v>36568.605600000003</v>
      </c>
      <c r="E44" s="766">
        <f>IF(ISERROR('Cotizador AXA p2'!D20),"No Cotiza",'Cotizador AXA p2'!D20)</f>
        <v>46676.462800000001</v>
      </c>
      <c r="F44" s="766">
        <f>IF(ISERROR('Cotizador AXA p2'!E20),"No Cotiza",'Cotizador AXA p2'!E20)</f>
        <v>48987.085940000004</v>
      </c>
      <c r="G44" s="766">
        <f>IF(ISERROR('Cotizador AXA p2'!F20),"No Cotiza",'Cotizador AXA p2'!F20)</f>
        <v>50142.397510000003</v>
      </c>
      <c r="H44" s="766">
        <f>IF(ISERROR('Cotizador AXA p2'!G20),"No Cotiza",'Cotizador AXA p2'!G20)</f>
        <v>50835.584451999996</v>
      </c>
      <c r="I44" s="365"/>
      <c r="J44" s="375"/>
      <c r="K44" s="375"/>
      <c r="L44" s="375"/>
      <c r="M44" s="375"/>
      <c r="N44" s="375"/>
      <c r="O44" s="375"/>
      <c r="P44" s="375"/>
      <c r="Q44" s="375"/>
      <c r="R44" s="375"/>
      <c r="S44" s="375"/>
    </row>
    <row r="45" spans="2:31">
      <c r="B45" s="365"/>
      <c r="C45" s="861" t="str">
        <f>IF($Q$40="camion",$Q$42,"")</f>
        <v>La cotización con AXA es exclusiva para camiones con tipo de carga "A", si se requiere para otro tipo de carga es necesario que envíen solicitud de cotización a AON</v>
      </c>
      <c r="D45" s="861"/>
      <c r="E45" s="861"/>
      <c r="F45" s="861"/>
      <c r="G45" s="861"/>
      <c r="H45" s="861"/>
      <c r="I45" s="365"/>
      <c r="J45" s="375"/>
      <c r="K45" s="375"/>
      <c r="L45" s="375"/>
      <c r="M45" s="375"/>
      <c r="N45" s="375"/>
      <c r="O45" s="375"/>
      <c r="P45" s="375"/>
      <c r="Q45" s="375"/>
      <c r="R45" s="375"/>
      <c r="S45" s="375"/>
    </row>
    <row r="46" spans="2:31" ht="13.5" thickBot="1">
      <c r="B46" s="365"/>
      <c r="C46" s="862"/>
      <c r="D46" s="862"/>
      <c r="E46" s="862"/>
      <c r="F46" s="862"/>
      <c r="G46" s="862"/>
      <c r="H46" s="862"/>
      <c r="I46" s="365"/>
      <c r="J46" s="375"/>
      <c r="K46" s="375"/>
      <c r="L46" s="375"/>
      <c r="M46" s="375"/>
      <c r="N46" s="375"/>
      <c r="O46" s="375"/>
      <c r="P46" s="375"/>
      <c r="Q46" s="375"/>
      <c r="R46" s="375"/>
      <c r="S46" s="375"/>
    </row>
    <row r="47" spans="2:31" ht="13.5" thickBot="1">
      <c r="B47" s="365"/>
      <c r="C47" s="777" t="s">
        <v>145</v>
      </c>
      <c r="D47" s="775" t="s">
        <v>136</v>
      </c>
      <c r="E47" s="776" t="s">
        <v>499</v>
      </c>
      <c r="F47" s="776" t="s">
        <v>497</v>
      </c>
      <c r="G47" s="776" t="s">
        <v>498</v>
      </c>
      <c r="H47" s="776" t="s">
        <v>496</v>
      </c>
      <c r="I47" s="365"/>
      <c r="J47" s="375"/>
      <c r="K47" s="375"/>
      <c r="L47" s="375"/>
      <c r="M47" s="375"/>
      <c r="N47" s="375"/>
      <c r="O47" s="375"/>
      <c r="P47" s="375"/>
      <c r="Q47" s="375"/>
      <c r="R47" s="375"/>
      <c r="S47" s="375"/>
    </row>
    <row r="48" spans="2:31">
      <c r="B48" s="365"/>
      <c r="C48" s="767" t="s">
        <v>73</v>
      </c>
      <c r="D48" s="768">
        <f>'Selector GNP'!B21</f>
        <v>48</v>
      </c>
      <c r="E48" s="769">
        <f>'Selector GNP'!C21</f>
        <v>48</v>
      </c>
      <c r="F48" s="769">
        <f>'Selector GNP'!D21</f>
        <v>48</v>
      </c>
      <c r="G48" s="769">
        <f>'Selector GNP'!E21</f>
        <v>48</v>
      </c>
      <c r="H48" s="769">
        <f>'Selector GNP'!F21</f>
        <v>48</v>
      </c>
      <c r="I48" s="365"/>
      <c r="J48" s="375"/>
      <c r="K48" s="375"/>
      <c r="L48" s="375"/>
      <c r="M48" s="375"/>
      <c r="N48" s="375"/>
      <c r="O48" s="375"/>
      <c r="P48" s="375"/>
      <c r="Q48" s="375"/>
      <c r="R48" s="375"/>
      <c r="S48" s="375"/>
    </row>
    <row r="49" spans="2:19">
      <c r="B49" s="365"/>
      <c r="C49" s="770" t="s">
        <v>652</v>
      </c>
      <c r="D49" s="771">
        <f>'Selector GNP'!B22</f>
        <v>1</v>
      </c>
      <c r="E49" s="772">
        <f>'Selector GNP'!C22</f>
        <v>4</v>
      </c>
      <c r="F49" s="772">
        <f>'Selector GNP'!D22</f>
        <v>8</v>
      </c>
      <c r="G49" s="772">
        <f>'Selector GNP'!E22</f>
        <v>16</v>
      </c>
      <c r="H49" s="772">
        <f>'Selector GNP'!F22</f>
        <v>48</v>
      </c>
      <c r="I49" s="365"/>
      <c r="J49" s="375"/>
      <c r="K49" s="375"/>
      <c r="L49" s="375"/>
      <c r="M49" s="375"/>
      <c r="N49" s="375"/>
      <c r="O49" s="375"/>
      <c r="P49" s="375"/>
      <c r="Q49" s="375"/>
      <c r="R49" s="375"/>
      <c r="S49" s="375"/>
    </row>
    <row r="50" spans="2:19">
      <c r="B50" s="365"/>
      <c r="C50" s="770" t="s">
        <v>70</v>
      </c>
      <c r="D50" s="773">
        <f>IF(ISERROR('Selector GNP'!B23),"No Cotiza",'Selector GNP'!B23)</f>
        <v>55909.448000000004</v>
      </c>
      <c r="E50" s="774">
        <f>IF(ISERROR('Selector GNP'!C23),"No Cotiza",'Selector GNP'!C23)</f>
        <v>15039.641512000002</v>
      </c>
      <c r="F50" s="774">
        <f>IF(ISERROR('Selector GNP'!D23),"No Cotiza",'Selector GNP'!D23)</f>
        <v>7614.1679495000008</v>
      </c>
      <c r="G50" s="774">
        <f>IF(ISERROR('Selector GNP'!E23),"No Cotiza",'Selector GNP'!E23)</f>
        <v>3830.8454901500004</v>
      </c>
      <c r="H50" s="774">
        <f>IF(ISERROR('Selector GNP'!F23),"No Cotiza",'Selector GNP'!F23)</f>
        <v>1282.1900074666667</v>
      </c>
      <c r="I50" s="365"/>
      <c r="J50" s="375"/>
      <c r="K50" s="375"/>
      <c r="L50" s="375"/>
      <c r="M50" s="375"/>
      <c r="N50" s="375"/>
      <c r="O50" s="375"/>
      <c r="P50" s="375"/>
      <c r="Q50" s="375"/>
      <c r="R50" s="375"/>
      <c r="S50" s="375"/>
    </row>
    <row r="51" spans="2:19">
      <c r="B51" s="365"/>
      <c r="C51" s="770" t="s">
        <v>71</v>
      </c>
      <c r="D51" s="773">
        <f>IF(ISERROR('Selector GNP'!B24),"No Cotiza",'Selector GNP'!B24)</f>
        <v>55909.448000000004</v>
      </c>
      <c r="E51" s="774">
        <f>IF(ISERROR('Selector GNP'!C24),"No Cotiza",'Selector GNP'!C24)</f>
        <v>60158.566048000008</v>
      </c>
      <c r="F51" s="774">
        <f>IF(ISERROR('Selector GNP'!D24),"No Cotiza",'Selector GNP'!D24)</f>
        <v>60913.343596000006</v>
      </c>
      <c r="G51" s="774">
        <f>IF(ISERROR('Selector GNP'!E24),"No Cotiza",'Selector GNP'!E24)</f>
        <v>61293.527842400006</v>
      </c>
      <c r="H51" s="774">
        <f>IF(ISERROR('Selector GNP'!F24),"No Cotiza",'Selector GNP'!F24)</f>
        <v>61545.120358400003</v>
      </c>
      <c r="I51" s="365"/>
      <c r="J51" s="375"/>
      <c r="K51" s="375"/>
      <c r="L51" s="375"/>
      <c r="M51" s="375"/>
      <c r="N51" s="375"/>
      <c r="O51" s="375"/>
      <c r="P51" s="375"/>
      <c r="Q51" s="375"/>
      <c r="R51" s="375"/>
      <c r="S51" s="375"/>
    </row>
    <row r="52" spans="2:19">
      <c r="B52" s="365"/>
      <c r="C52" s="861" t="str">
        <f>IF($Q$40="camion",$Q$43,"")</f>
        <v>La cotización con GNP es exclusiva para camiones con tipo de carga "A", si se requiere para otro tipo de carga es necesario que envíen solicitud de cotización a AON</v>
      </c>
      <c r="D52" s="861"/>
      <c r="E52" s="861"/>
      <c r="F52" s="861"/>
      <c r="G52" s="861"/>
      <c r="H52" s="861"/>
      <c r="I52" s="365"/>
      <c r="J52" s="375"/>
      <c r="K52" s="375"/>
      <c r="L52" s="375"/>
      <c r="M52" s="375"/>
      <c r="N52" s="375"/>
      <c r="O52" s="375"/>
      <c r="P52" s="375"/>
      <c r="Q52" s="375"/>
      <c r="R52" s="375"/>
      <c r="S52" s="375"/>
    </row>
    <row r="53" spans="2:19">
      <c r="B53" s="365"/>
      <c r="C53" s="862"/>
      <c r="D53" s="862"/>
      <c r="E53" s="862"/>
      <c r="F53" s="862"/>
      <c r="G53" s="862"/>
      <c r="H53" s="862"/>
      <c r="I53" s="365"/>
      <c r="J53" s="375"/>
      <c r="K53" s="375"/>
      <c r="L53" s="375"/>
      <c r="M53" s="375"/>
      <c r="N53" s="375"/>
      <c r="O53" s="375"/>
      <c r="P53" s="375"/>
      <c r="Q53" s="375"/>
      <c r="R53" s="375"/>
      <c r="S53" s="375"/>
    </row>
    <row r="54" spans="2:19">
      <c r="B54" s="365"/>
      <c r="C54" s="365" t="str">
        <f>"Esta cotización estará vigente hasta el 15 de "&amp;AB21</f>
        <v>Esta cotización estará vigente hasta el 15 de Diciembre</v>
      </c>
      <c r="D54" s="365"/>
      <c r="E54" s="365"/>
      <c r="F54" s="365"/>
      <c r="G54" s="365"/>
      <c r="H54" s="365"/>
      <c r="I54" s="365"/>
      <c r="J54" s="375"/>
      <c r="K54" s="375"/>
      <c r="L54" s="375"/>
      <c r="M54" s="375"/>
      <c r="N54" s="375"/>
      <c r="O54" s="375"/>
      <c r="P54" s="375"/>
      <c r="Q54" s="375"/>
      <c r="R54" s="375"/>
      <c r="S54" s="375"/>
    </row>
    <row r="55" spans="2:19">
      <c r="B55" s="365"/>
      <c r="C55" s="365" t="s">
        <v>206</v>
      </c>
      <c r="D55" s="365"/>
      <c r="E55" s="389"/>
      <c r="F55" s="365"/>
      <c r="G55" s="365"/>
      <c r="H55" s="365"/>
      <c r="I55" s="365"/>
      <c r="J55" s="375"/>
      <c r="K55" s="375"/>
      <c r="L55" s="375"/>
      <c r="M55" s="375"/>
      <c r="N55" s="375"/>
      <c r="O55" s="375"/>
      <c r="P55" s="375"/>
      <c r="Q55" s="375"/>
      <c r="R55" s="375"/>
      <c r="S55" s="375"/>
    </row>
    <row r="56" spans="2:19">
      <c r="B56" s="365"/>
      <c r="C56" s="365"/>
      <c r="D56" s="365"/>
      <c r="E56" s="365"/>
      <c r="F56" s="365"/>
      <c r="G56" s="365"/>
      <c r="H56" s="365"/>
      <c r="I56" s="365"/>
      <c r="J56" s="375"/>
      <c r="K56" s="375"/>
      <c r="L56" s="375"/>
      <c r="M56" s="375"/>
      <c r="N56" s="375"/>
      <c r="O56" s="375"/>
      <c r="P56" s="375"/>
      <c r="Q56" s="375"/>
      <c r="R56" s="375"/>
      <c r="S56" s="375"/>
    </row>
    <row r="57" spans="2:19">
      <c r="B57" s="365"/>
      <c r="C57" s="365" t="s">
        <v>205</v>
      </c>
      <c r="D57" s="365"/>
      <c r="E57" s="365"/>
      <c r="F57" s="365"/>
      <c r="G57" s="365"/>
      <c r="H57" s="365"/>
      <c r="I57" s="365"/>
      <c r="J57" s="375"/>
      <c r="K57" s="375"/>
      <c r="L57" s="375"/>
      <c r="M57" s="375"/>
      <c r="N57" s="375"/>
      <c r="O57" s="375"/>
      <c r="P57" s="375"/>
      <c r="Q57" s="375"/>
      <c r="R57" s="375"/>
      <c r="S57" s="375"/>
    </row>
    <row r="58" spans="2:19">
      <c r="B58" s="365"/>
      <c r="C58" s="867"/>
      <c r="D58" s="868"/>
      <c r="E58" s="868"/>
      <c r="F58" s="868"/>
      <c r="G58" s="868"/>
      <c r="H58" s="869"/>
      <c r="I58" s="365"/>
      <c r="J58" s="375"/>
      <c r="K58" s="375"/>
      <c r="L58" s="375"/>
      <c r="M58" s="375"/>
      <c r="N58" s="375"/>
      <c r="O58" s="375"/>
      <c r="P58" s="375"/>
      <c r="Q58" s="375"/>
      <c r="R58" s="375"/>
      <c r="S58" s="375"/>
    </row>
    <row r="59" spans="2:19">
      <c r="B59" s="365"/>
      <c r="C59" s="870"/>
      <c r="D59" s="871"/>
      <c r="E59" s="871"/>
      <c r="F59" s="871"/>
      <c r="G59" s="871"/>
      <c r="H59" s="872"/>
      <c r="I59" s="365"/>
      <c r="J59" s="375"/>
      <c r="K59" s="375"/>
      <c r="L59" s="375"/>
      <c r="M59" s="375"/>
      <c r="N59" s="375"/>
      <c r="O59" s="375"/>
      <c r="P59" s="375"/>
      <c r="Q59" s="375"/>
      <c r="R59" s="375"/>
      <c r="S59" s="375"/>
    </row>
    <row r="60" spans="2:19">
      <c r="B60" s="365"/>
      <c r="C60" s="873"/>
      <c r="D60" s="874"/>
      <c r="E60" s="874"/>
      <c r="F60" s="874"/>
      <c r="G60" s="874"/>
      <c r="H60" s="875"/>
      <c r="I60" s="365"/>
      <c r="J60" s="375"/>
      <c r="K60" s="375"/>
      <c r="L60" s="375"/>
      <c r="M60" s="375"/>
      <c r="N60" s="375"/>
      <c r="O60" s="375"/>
      <c r="P60" s="375"/>
      <c r="Q60" s="375"/>
      <c r="R60" s="375"/>
      <c r="S60" s="375"/>
    </row>
    <row r="61" spans="2:19">
      <c r="B61" s="365"/>
      <c r="C61" s="365"/>
      <c r="D61" s="365"/>
      <c r="E61" s="365"/>
      <c r="F61" s="365"/>
      <c r="G61" s="365"/>
      <c r="H61" s="365"/>
      <c r="I61" s="365"/>
      <c r="J61" s="375"/>
      <c r="K61" s="375"/>
      <c r="L61" s="375"/>
      <c r="M61" s="375"/>
      <c r="N61" s="375"/>
      <c r="O61" s="375"/>
      <c r="P61" s="375"/>
      <c r="Q61" s="375"/>
      <c r="R61" s="375"/>
      <c r="S61" s="375"/>
    </row>
    <row r="62" spans="2:19">
      <c r="B62" s="365"/>
      <c r="C62" s="365"/>
      <c r="D62" s="365"/>
      <c r="E62" s="365"/>
      <c r="F62" s="365"/>
      <c r="G62" s="365"/>
      <c r="H62" s="365"/>
      <c r="I62" s="365"/>
      <c r="J62" s="375"/>
      <c r="K62" s="375"/>
      <c r="L62" s="375"/>
      <c r="M62" s="375"/>
      <c r="N62" s="375"/>
      <c r="O62" s="375"/>
      <c r="P62" s="375"/>
      <c r="Q62" s="375"/>
      <c r="R62" s="375"/>
      <c r="S62" s="375"/>
    </row>
    <row r="63" spans="2:19">
      <c r="B63" s="365"/>
      <c r="C63" s="845"/>
      <c r="D63" s="846"/>
      <c r="E63" s="845"/>
      <c r="F63" s="845"/>
      <c r="G63" s="845"/>
      <c r="H63" s="845"/>
      <c r="I63" s="365"/>
      <c r="J63" s="375"/>
      <c r="K63" s="375"/>
      <c r="L63" s="375"/>
      <c r="M63" s="375"/>
      <c r="N63" s="375"/>
      <c r="O63" s="375"/>
      <c r="P63" s="375"/>
      <c r="Q63" s="375"/>
      <c r="R63" s="375"/>
      <c r="S63" s="375"/>
    </row>
    <row r="64" spans="2:19" ht="18.75">
      <c r="B64" s="880" t="s">
        <v>519</v>
      </c>
      <c r="C64" s="880"/>
      <c r="D64" s="734"/>
      <c r="E64" s="625"/>
      <c r="F64" s="365"/>
      <c r="G64" s="865" t="s">
        <v>208</v>
      </c>
      <c r="H64" s="865"/>
      <c r="I64" s="365"/>
      <c r="J64" s="375"/>
      <c r="K64" s="375"/>
      <c r="L64" s="375"/>
      <c r="M64" s="375"/>
      <c r="N64" s="375"/>
      <c r="O64" s="375"/>
      <c r="P64" s="375"/>
      <c r="Q64" s="375"/>
      <c r="R64" s="375"/>
      <c r="S64" s="375"/>
    </row>
    <row r="65" spans="1:24">
      <c r="B65" s="624"/>
      <c r="C65" s="624"/>
      <c r="D65" s="624"/>
      <c r="E65" s="624"/>
      <c r="F65" s="365"/>
      <c r="G65" s="620"/>
      <c r="H65" s="620"/>
      <c r="I65" s="365"/>
      <c r="J65" s="375"/>
      <c r="K65" s="375"/>
      <c r="L65" s="375"/>
      <c r="M65" s="375"/>
      <c r="N65" s="375"/>
      <c r="O65" s="375"/>
      <c r="P65" s="375"/>
      <c r="Q65" s="375"/>
      <c r="R65" s="375"/>
      <c r="S65" s="375"/>
    </row>
    <row r="66" spans="1:24">
      <c r="B66" s="365"/>
      <c r="C66" s="365"/>
      <c r="D66" s="368"/>
      <c r="E66" s="625"/>
      <c r="F66" s="365"/>
      <c r="G66" s="365"/>
      <c r="H66" s="365"/>
      <c r="I66" s="365"/>
      <c r="J66" s="375"/>
      <c r="K66" s="375"/>
      <c r="L66" s="375"/>
      <c r="M66" s="375"/>
      <c r="N66" s="375"/>
      <c r="O66" s="375"/>
      <c r="P66" s="375"/>
      <c r="Q66" s="375"/>
      <c r="R66" s="375"/>
      <c r="S66" s="375"/>
    </row>
    <row r="67" spans="1:24" ht="18.75">
      <c r="B67" s="880" t="s">
        <v>520</v>
      </c>
      <c r="C67" s="880"/>
      <c r="D67" s="734"/>
      <c r="E67" s="625"/>
      <c r="F67" s="365"/>
      <c r="G67" s="365"/>
      <c r="H67" s="365"/>
      <c r="I67" s="365"/>
      <c r="J67" s="375"/>
      <c r="K67" s="375"/>
      <c r="L67" s="375"/>
      <c r="M67" s="375"/>
      <c r="N67" s="375"/>
      <c r="O67" s="375"/>
      <c r="P67" s="375"/>
      <c r="Q67" s="375"/>
      <c r="R67" s="375"/>
      <c r="S67" s="375"/>
    </row>
    <row r="68" spans="1:24">
      <c r="B68" s="365"/>
      <c r="C68" s="365"/>
      <c r="D68" s="368"/>
      <c r="E68" s="625"/>
      <c r="F68" s="365"/>
      <c r="G68" s="365"/>
      <c r="H68" s="365"/>
      <c r="I68" s="365"/>
      <c r="J68" s="375"/>
      <c r="K68" s="375"/>
      <c r="L68" s="375"/>
      <c r="M68" s="375"/>
      <c r="N68" s="375"/>
      <c r="O68" s="375"/>
      <c r="P68" s="375"/>
      <c r="Q68" s="375"/>
      <c r="R68" s="375"/>
      <c r="S68" s="375"/>
    </row>
    <row r="69" spans="1:24">
      <c r="B69" s="365"/>
      <c r="C69" s="365"/>
      <c r="D69" s="368"/>
      <c r="E69" s="625"/>
      <c r="F69" s="365"/>
      <c r="G69" s="365"/>
      <c r="H69" s="365"/>
      <c r="I69" s="365"/>
      <c r="J69" s="375"/>
      <c r="K69" s="375"/>
      <c r="L69" s="375"/>
      <c r="M69" s="375"/>
      <c r="N69" s="375"/>
      <c r="O69" s="375"/>
      <c r="P69" s="375"/>
      <c r="Q69" s="375"/>
      <c r="R69" s="375"/>
      <c r="S69" s="375"/>
    </row>
    <row r="70" spans="1:24" ht="13.5" thickBot="1">
      <c r="B70" s="365"/>
      <c r="C70" s="365"/>
      <c r="D70" s="368"/>
      <c r="E70" s="365"/>
      <c r="F70" s="365"/>
      <c r="G70" s="864" t="str">
        <f>G11&amp;" "&amp;G12&amp;" "&amp;G13</f>
        <v xml:space="preserve">  </v>
      </c>
      <c r="H70" s="864"/>
      <c r="I70" s="365"/>
      <c r="J70" s="375"/>
      <c r="K70" s="375"/>
      <c r="L70" s="375"/>
      <c r="M70" s="375"/>
      <c r="N70" s="375"/>
      <c r="O70" s="375"/>
      <c r="P70" s="375"/>
      <c r="Q70" s="375"/>
      <c r="R70" s="375"/>
      <c r="S70" s="375"/>
      <c r="V70" s="853" t="s">
        <v>649</v>
      </c>
      <c r="W70" s="853"/>
      <c r="X70" s="743"/>
    </row>
    <row r="71" spans="1:24">
      <c r="B71" s="365"/>
      <c r="C71" s="886" t="s">
        <v>670</v>
      </c>
      <c r="D71" s="886"/>
      <c r="E71" s="886"/>
      <c r="F71" s="365"/>
      <c r="G71" s="865" t="str">
        <f>G14&amp;"-"&amp;G15</f>
        <v>-</v>
      </c>
      <c r="H71" s="865"/>
      <c r="I71" s="365"/>
      <c r="J71" s="375"/>
      <c r="K71" s="375"/>
      <c r="L71" s="375"/>
      <c r="M71" s="375"/>
      <c r="N71" s="375"/>
      <c r="O71" s="375"/>
      <c r="P71" s="375"/>
      <c r="Q71" s="375"/>
      <c r="R71" s="375"/>
      <c r="S71" s="375"/>
      <c r="V71" s="847">
        <v>11</v>
      </c>
      <c r="W71" s="848" t="s">
        <v>666</v>
      </c>
      <c r="X71" s="745"/>
    </row>
    <row r="72" spans="1:24">
      <c r="A72" s="375"/>
      <c r="B72" s="375"/>
      <c r="C72" s="375"/>
      <c r="D72" s="375"/>
      <c r="E72" s="375"/>
      <c r="F72" s="375"/>
      <c r="G72" s="375"/>
      <c r="H72" s="375"/>
      <c r="I72" s="375"/>
      <c r="J72" s="375"/>
      <c r="K72" s="375"/>
      <c r="L72" s="375"/>
      <c r="M72" s="375"/>
      <c r="N72" s="375"/>
      <c r="O72" s="375"/>
      <c r="P72" s="375"/>
      <c r="Q72" s="375"/>
      <c r="R72" s="375"/>
      <c r="S72" s="375"/>
      <c r="V72" s="628">
        <v>14</v>
      </c>
      <c r="W72" s="629" t="s">
        <v>525</v>
      </c>
      <c r="X72" s="744"/>
    </row>
    <row r="73" spans="1:24">
      <c r="A73" s="375"/>
      <c r="B73" s="375"/>
      <c r="C73" s="375"/>
      <c r="D73" s="375"/>
      <c r="E73" s="375"/>
      <c r="F73" s="375"/>
      <c r="G73" s="375"/>
      <c r="H73" s="375"/>
      <c r="I73" s="375"/>
      <c r="J73" s="375"/>
      <c r="K73" s="375"/>
      <c r="L73" s="375"/>
      <c r="M73" s="375"/>
      <c r="N73" s="375"/>
      <c r="O73" s="375"/>
      <c r="P73" s="375"/>
      <c r="Q73" s="375"/>
      <c r="R73" s="375"/>
      <c r="S73" s="375"/>
      <c r="V73" s="626">
        <v>18</v>
      </c>
      <c r="W73" s="627" t="s">
        <v>526</v>
      </c>
      <c r="X73" s="745"/>
    </row>
    <row r="74" spans="1:24" hidden="1">
      <c r="A74" s="375"/>
      <c r="B74" s="375"/>
      <c r="C74" s="375"/>
      <c r="D74" s="375"/>
      <c r="E74" s="375"/>
      <c r="F74" s="375"/>
      <c r="G74" s="375"/>
      <c r="H74" s="375"/>
      <c r="I74" s="375"/>
      <c r="J74" s="375"/>
      <c r="K74" s="375"/>
      <c r="L74" s="375"/>
      <c r="M74" s="375"/>
      <c r="N74" s="375"/>
      <c r="O74" s="375"/>
      <c r="P74" s="375"/>
      <c r="Q74" s="375"/>
      <c r="R74" s="375"/>
      <c r="S74" s="375"/>
      <c r="V74" s="626">
        <v>20</v>
      </c>
      <c r="W74" s="627" t="s">
        <v>527</v>
      </c>
      <c r="X74" s="745"/>
    </row>
    <row r="75" spans="1:24" hidden="1">
      <c r="A75" s="375"/>
      <c r="B75" s="375"/>
      <c r="C75" s="375"/>
      <c r="D75" s="375"/>
      <c r="E75" s="375"/>
      <c r="F75" s="375"/>
      <c r="G75" s="375"/>
      <c r="H75" s="375"/>
      <c r="I75" s="375"/>
      <c r="J75" s="375"/>
      <c r="K75" s="375"/>
      <c r="L75" s="375"/>
      <c r="M75" s="375"/>
      <c r="N75" s="375"/>
      <c r="O75" s="375"/>
      <c r="P75" s="375"/>
      <c r="Q75" s="375"/>
      <c r="R75" s="375"/>
      <c r="S75" s="375"/>
      <c r="V75" s="626">
        <v>22</v>
      </c>
      <c r="W75" s="627" t="s">
        <v>528</v>
      </c>
      <c r="X75" s="745"/>
    </row>
    <row r="76" spans="1:24" hidden="1">
      <c r="V76" s="626">
        <v>27</v>
      </c>
      <c r="W76" s="627" t="s">
        <v>529</v>
      </c>
      <c r="X76" s="745"/>
    </row>
    <row r="77" spans="1:24" hidden="1">
      <c r="V77" s="626">
        <v>28</v>
      </c>
      <c r="W77" s="627" t="s">
        <v>530</v>
      </c>
      <c r="X77" s="745"/>
    </row>
    <row r="78" spans="1:24" hidden="1">
      <c r="V78" s="628">
        <v>34</v>
      </c>
      <c r="W78" s="629" t="s">
        <v>531</v>
      </c>
      <c r="X78" s="744"/>
    </row>
    <row r="79" spans="1:24" hidden="1">
      <c r="V79" s="626">
        <v>35</v>
      </c>
      <c r="W79" s="627" t="s">
        <v>532</v>
      </c>
      <c r="X79" s="745"/>
    </row>
    <row r="80" spans="1:24" hidden="1">
      <c r="V80" s="628">
        <v>37</v>
      </c>
      <c r="W80" s="629" t="s">
        <v>533</v>
      </c>
      <c r="X80" s="744"/>
    </row>
    <row r="81" spans="22:24" hidden="1">
      <c r="V81" s="628">
        <v>38</v>
      </c>
      <c r="W81" s="629" t="s">
        <v>534</v>
      </c>
      <c r="X81" s="744"/>
    </row>
    <row r="82" spans="22:24" hidden="1">
      <c r="V82" s="626">
        <v>39</v>
      </c>
      <c r="W82" s="627" t="s">
        <v>535</v>
      </c>
      <c r="X82" s="745"/>
    </row>
    <row r="83" spans="22:24" hidden="1">
      <c r="V83" s="626">
        <v>44</v>
      </c>
      <c r="W83" s="627" t="s">
        <v>536</v>
      </c>
      <c r="X83" s="745"/>
    </row>
    <row r="84" spans="22:24" hidden="1">
      <c r="V84" s="626">
        <v>50</v>
      </c>
      <c r="W84" s="627" t="s">
        <v>537</v>
      </c>
      <c r="X84" s="745"/>
    </row>
    <row r="85" spans="22:24" hidden="1">
      <c r="V85" s="628">
        <v>51</v>
      </c>
      <c r="W85" s="629" t="s">
        <v>538</v>
      </c>
      <c r="X85" s="744"/>
    </row>
    <row r="86" spans="22:24" hidden="1">
      <c r="V86" s="626">
        <v>53</v>
      </c>
      <c r="W86" s="627" t="s">
        <v>539</v>
      </c>
      <c r="X86" s="745"/>
    </row>
    <row r="87" spans="22:24" hidden="1">
      <c r="V87" s="628">
        <v>65</v>
      </c>
      <c r="W87" s="629" t="s">
        <v>540</v>
      </c>
      <c r="X87" s="744"/>
    </row>
    <row r="88" spans="22:24" hidden="1">
      <c r="V88" s="626">
        <v>72</v>
      </c>
      <c r="W88" s="627" t="s">
        <v>541</v>
      </c>
      <c r="X88" s="745"/>
    </row>
    <row r="89" spans="22:24" hidden="1">
      <c r="V89" s="626">
        <v>74</v>
      </c>
      <c r="W89" s="627" t="s">
        <v>542</v>
      </c>
      <c r="X89" s="745"/>
    </row>
    <row r="90" spans="22:24" hidden="1">
      <c r="V90" s="626">
        <v>77</v>
      </c>
      <c r="W90" s="627" t="s">
        <v>543</v>
      </c>
      <c r="X90" s="745"/>
    </row>
    <row r="91" spans="22:24" hidden="1">
      <c r="V91" s="626">
        <v>80</v>
      </c>
      <c r="W91" s="627" t="s">
        <v>544</v>
      </c>
      <c r="X91" s="745"/>
    </row>
    <row r="92" spans="22:24" hidden="1">
      <c r="V92" s="628">
        <v>91</v>
      </c>
      <c r="W92" s="629" t="s">
        <v>545</v>
      </c>
      <c r="X92" s="744"/>
    </row>
    <row r="93" spans="22:24" hidden="1">
      <c r="V93" s="626">
        <v>101</v>
      </c>
      <c r="W93" s="629" t="s">
        <v>546</v>
      </c>
      <c r="X93" s="744"/>
    </row>
    <row r="94" spans="22:24" hidden="1">
      <c r="V94" s="626">
        <v>102</v>
      </c>
      <c r="W94" s="627" t="s">
        <v>547</v>
      </c>
      <c r="X94" s="745"/>
    </row>
    <row r="95" spans="22:24" hidden="1">
      <c r="V95" s="626">
        <v>104</v>
      </c>
      <c r="W95" s="627" t="s">
        <v>548</v>
      </c>
      <c r="X95" s="745"/>
    </row>
    <row r="96" spans="22:24" hidden="1">
      <c r="V96" s="626">
        <v>107</v>
      </c>
      <c r="W96" s="627" t="s">
        <v>549</v>
      </c>
      <c r="X96" s="745"/>
    </row>
    <row r="97" spans="22:24" hidden="1">
      <c r="V97" s="628">
        <v>114</v>
      </c>
      <c r="W97" s="629" t="s">
        <v>550</v>
      </c>
      <c r="X97" s="744"/>
    </row>
    <row r="98" spans="22:24" hidden="1">
      <c r="V98" s="626">
        <v>116</v>
      </c>
      <c r="W98" s="627" t="s">
        <v>551</v>
      </c>
      <c r="X98" s="745"/>
    </row>
    <row r="99" spans="22:24" hidden="1">
      <c r="V99" s="626">
        <v>121</v>
      </c>
      <c r="W99" s="627" t="s">
        <v>552</v>
      </c>
      <c r="X99" s="745"/>
    </row>
    <row r="100" spans="22:24" hidden="1">
      <c r="V100" s="626">
        <v>122</v>
      </c>
      <c r="W100" s="627" t="s">
        <v>553</v>
      </c>
      <c r="X100" s="745"/>
    </row>
    <row r="101" spans="22:24" hidden="1">
      <c r="V101" s="626">
        <v>137</v>
      </c>
      <c r="W101" s="627" t="s">
        <v>554</v>
      </c>
      <c r="X101" s="745"/>
    </row>
    <row r="102" spans="22:24" hidden="1">
      <c r="V102" s="628">
        <v>140</v>
      </c>
      <c r="W102" s="629" t="s">
        <v>555</v>
      </c>
      <c r="X102" s="744"/>
    </row>
    <row r="103" spans="22:24" hidden="1">
      <c r="V103" s="628">
        <v>161</v>
      </c>
      <c r="W103" s="629" t="s">
        <v>556</v>
      </c>
      <c r="X103" s="744"/>
    </row>
    <row r="104" spans="22:24" hidden="1">
      <c r="V104" s="626">
        <v>164</v>
      </c>
      <c r="W104" s="627" t="s">
        <v>557</v>
      </c>
      <c r="X104" s="745"/>
    </row>
    <row r="105" spans="22:24" hidden="1">
      <c r="V105" s="628">
        <v>181</v>
      </c>
      <c r="W105" s="629" t="s">
        <v>558</v>
      </c>
      <c r="X105" s="744"/>
    </row>
    <row r="106" spans="22:24" hidden="1">
      <c r="V106" s="626">
        <v>188</v>
      </c>
      <c r="W106" s="627" t="s">
        <v>559</v>
      </c>
      <c r="X106" s="745"/>
    </row>
    <row r="107" spans="22:24" hidden="1">
      <c r="V107" s="628">
        <v>204</v>
      </c>
      <c r="W107" s="629" t="s">
        <v>560</v>
      </c>
      <c r="X107" s="744"/>
    </row>
    <row r="108" spans="22:24" hidden="1">
      <c r="V108" s="626">
        <v>221</v>
      </c>
      <c r="W108" s="627" t="s">
        <v>561</v>
      </c>
      <c r="X108" s="745"/>
    </row>
    <row r="109" spans="22:24" hidden="1">
      <c r="V109" s="626">
        <v>234</v>
      </c>
      <c r="W109" s="627" t="s">
        <v>562</v>
      </c>
      <c r="X109" s="745"/>
    </row>
    <row r="110" spans="22:24" hidden="1">
      <c r="V110" s="628">
        <v>243</v>
      </c>
      <c r="W110" s="629" t="s">
        <v>563</v>
      </c>
      <c r="X110" s="744"/>
    </row>
    <row r="111" spans="22:24" hidden="1">
      <c r="V111" s="628">
        <v>268</v>
      </c>
      <c r="W111" s="629" t="s">
        <v>564</v>
      </c>
      <c r="X111" s="744"/>
    </row>
    <row r="112" spans="22:24" hidden="1">
      <c r="V112" s="628">
        <v>270</v>
      </c>
      <c r="W112" s="629" t="s">
        <v>565</v>
      </c>
      <c r="X112" s="744"/>
    </row>
    <row r="113" spans="22:24" hidden="1">
      <c r="V113" s="626">
        <v>271</v>
      </c>
      <c r="W113" s="629" t="s">
        <v>566</v>
      </c>
      <c r="X113" s="744"/>
    </row>
    <row r="114" spans="22:24" hidden="1">
      <c r="V114" s="628">
        <v>288</v>
      </c>
      <c r="W114" s="629" t="s">
        <v>567</v>
      </c>
      <c r="X114" s="744"/>
    </row>
    <row r="115" spans="22:24" hidden="1">
      <c r="V115" s="626">
        <v>297</v>
      </c>
      <c r="W115" s="627" t="s">
        <v>568</v>
      </c>
      <c r="X115" s="745"/>
    </row>
    <row r="116" spans="22:24" hidden="1">
      <c r="V116" s="626">
        <v>299</v>
      </c>
      <c r="W116" s="627" t="s">
        <v>569</v>
      </c>
      <c r="X116" s="745"/>
    </row>
    <row r="117" spans="22:24" hidden="1">
      <c r="V117" s="628">
        <v>300</v>
      </c>
      <c r="W117" s="629" t="s">
        <v>570</v>
      </c>
      <c r="X117" s="744"/>
    </row>
    <row r="118" spans="22:24" hidden="1">
      <c r="V118" s="626">
        <v>301</v>
      </c>
      <c r="W118" s="627" t="s">
        <v>571</v>
      </c>
      <c r="X118" s="745"/>
    </row>
    <row r="119" spans="22:24" hidden="1">
      <c r="V119" s="626">
        <v>311</v>
      </c>
      <c r="W119" s="629" t="s">
        <v>572</v>
      </c>
      <c r="X119" s="744"/>
    </row>
    <row r="120" spans="22:24" hidden="1">
      <c r="V120" s="626">
        <v>319</v>
      </c>
      <c r="W120" s="627" t="s">
        <v>573</v>
      </c>
      <c r="X120" s="745"/>
    </row>
    <row r="121" spans="22:24" hidden="1">
      <c r="V121" s="626">
        <v>320</v>
      </c>
      <c r="W121" s="627" t="s">
        <v>574</v>
      </c>
      <c r="X121" s="745"/>
    </row>
    <row r="122" spans="22:24" hidden="1">
      <c r="V122" s="626">
        <v>331</v>
      </c>
      <c r="W122" s="627" t="s">
        <v>575</v>
      </c>
      <c r="X122" s="745"/>
    </row>
    <row r="123" spans="22:24" hidden="1">
      <c r="V123" s="626">
        <v>332</v>
      </c>
      <c r="W123" s="627" t="s">
        <v>576</v>
      </c>
      <c r="X123" s="745"/>
    </row>
    <row r="124" spans="22:24" hidden="1">
      <c r="V124" s="626">
        <v>334</v>
      </c>
      <c r="W124" s="629" t="s">
        <v>577</v>
      </c>
      <c r="X124" s="744"/>
    </row>
    <row r="125" spans="22:24" hidden="1">
      <c r="V125" s="626">
        <v>338</v>
      </c>
      <c r="W125" s="627" t="s">
        <v>578</v>
      </c>
      <c r="X125" s="745"/>
    </row>
    <row r="126" spans="22:24" hidden="1">
      <c r="V126" s="626">
        <v>339</v>
      </c>
      <c r="W126" s="627" t="s">
        <v>579</v>
      </c>
      <c r="X126" s="745"/>
    </row>
    <row r="127" spans="22:24" hidden="1">
      <c r="V127" s="628">
        <v>357</v>
      </c>
      <c r="W127" s="629" t="s">
        <v>580</v>
      </c>
      <c r="X127" s="744"/>
    </row>
    <row r="128" spans="22:24" hidden="1">
      <c r="V128" s="626">
        <v>362</v>
      </c>
      <c r="W128" s="627" t="s">
        <v>581</v>
      </c>
      <c r="X128" s="745"/>
    </row>
    <row r="129" spans="22:24" hidden="1">
      <c r="V129" s="626">
        <v>364</v>
      </c>
      <c r="W129" s="627" t="s">
        <v>582</v>
      </c>
      <c r="X129" s="745"/>
    </row>
    <row r="130" spans="22:24" hidden="1">
      <c r="V130" s="626">
        <v>375</v>
      </c>
      <c r="W130" s="627" t="s">
        <v>583</v>
      </c>
      <c r="X130" s="745"/>
    </row>
    <row r="131" spans="22:24" hidden="1">
      <c r="V131" s="626">
        <v>393</v>
      </c>
      <c r="W131" s="627" t="s">
        <v>584</v>
      </c>
      <c r="X131" s="745"/>
    </row>
    <row r="132" spans="22:24" hidden="1">
      <c r="V132" s="626">
        <v>396</v>
      </c>
      <c r="W132" s="627" t="s">
        <v>585</v>
      </c>
      <c r="X132" s="745"/>
    </row>
    <row r="133" spans="22:24" hidden="1">
      <c r="V133" s="628">
        <v>397</v>
      </c>
      <c r="W133" s="629" t="s">
        <v>586</v>
      </c>
      <c r="X133" s="744"/>
    </row>
    <row r="134" spans="22:24" hidden="1">
      <c r="V134" s="626">
        <v>401</v>
      </c>
      <c r="W134" s="629" t="s">
        <v>587</v>
      </c>
      <c r="X134" s="744"/>
    </row>
    <row r="135" spans="22:24" hidden="1">
      <c r="V135" s="626">
        <v>415</v>
      </c>
      <c r="W135" s="629" t="s">
        <v>588</v>
      </c>
      <c r="X135" s="744"/>
    </row>
    <row r="136" spans="22:24" hidden="1">
      <c r="V136" s="628">
        <v>436</v>
      </c>
      <c r="W136" s="629" t="s">
        <v>589</v>
      </c>
      <c r="X136" s="744"/>
    </row>
    <row r="137" spans="22:24" hidden="1">
      <c r="V137" s="626">
        <v>440</v>
      </c>
      <c r="W137" s="627" t="s">
        <v>590</v>
      </c>
      <c r="X137" s="745"/>
    </row>
    <row r="138" spans="22:24" hidden="1">
      <c r="V138" s="626">
        <v>447</v>
      </c>
      <c r="W138" s="627" t="s">
        <v>591</v>
      </c>
      <c r="X138" s="745"/>
    </row>
    <row r="139" spans="22:24" hidden="1">
      <c r="V139" s="626">
        <v>453</v>
      </c>
      <c r="W139" s="627" t="s">
        <v>592</v>
      </c>
      <c r="X139" s="745"/>
    </row>
    <row r="140" spans="22:24" hidden="1">
      <c r="V140" s="628">
        <v>457</v>
      </c>
      <c r="W140" s="629" t="s">
        <v>593</v>
      </c>
      <c r="X140" s="744"/>
    </row>
    <row r="141" spans="22:24" hidden="1">
      <c r="V141" s="626">
        <v>468</v>
      </c>
      <c r="W141" s="627" t="s">
        <v>594</v>
      </c>
      <c r="X141" s="745"/>
    </row>
    <row r="142" spans="22:24" hidden="1">
      <c r="V142" s="626">
        <v>474</v>
      </c>
      <c r="W142" s="627" t="s">
        <v>595</v>
      </c>
      <c r="X142" s="745"/>
    </row>
    <row r="143" spans="22:24" hidden="1">
      <c r="V143" s="626">
        <v>477</v>
      </c>
      <c r="W143" s="627" t="s">
        <v>596</v>
      </c>
      <c r="X143" s="745"/>
    </row>
    <row r="144" spans="22:24" hidden="1">
      <c r="V144" s="628">
        <v>478</v>
      </c>
      <c r="W144" s="629" t="s">
        <v>597</v>
      </c>
      <c r="X144" s="744"/>
    </row>
    <row r="145" spans="22:24" hidden="1">
      <c r="V145" s="626">
        <v>479</v>
      </c>
      <c r="W145" s="627" t="s">
        <v>598</v>
      </c>
      <c r="X145" s="745"/>
    </row>
    <row r="146" spans="22:24" hidden="1">
      <c r="V146" s="626">
        <v>485</v>
      </c>
      <c r="W146" s="627" t="s">
        <v>599</v>
      </c>
      <c r="X146" s="745"/>
    </row>
    <row r="147" spans="22:24" hidden="1">
      <c r="V147" s="626">
        <v>493</v>
      </c>
      <c r="W147" s="627" t="s">
        <v>600</v>
      </c>
      <c r="X147" s="745"/>
    </row>
    <row r="148" spans="22:24" hidden="1">
      <c r="V148" s="626">
        <v>494</v>
      </c>
      <c r="W148" s="627" t="s">
        <v>601</v>
      </c>
      <c r="X148" s="745"/>
    </row>
    <row r="149" spans="22:24" hidden="1">
      <c r="V149" s="626">
        <v>497</v>
      </c>
      <c r="W149" s="627" t="s">
        <v>602</v>
      </c>
      <c r="X149" s="745"/>
    </row>
    <row r="150" spans="22:24" hidden="1">
      <c r="V150" s="628">
        <v>505</v>
      </c>
      <c r="W150" s="629" t="s">
        <v>603</v>
      </c>
      <c r="X150" s="744"/>
    </row>
    <row r="151" spans="22:24" hidden="1">
      <c r="V151" s="626">
        <v>507</v>
      </c>
      <c r="W151" s="627" t="s">
        <v>604</v>
      </c>
      <c r="X151" s="745"/>
    </row>
    <row r="152" spans="22:24" hidden="1">
      <c r="V152" s="626">
        <v>509</v>
      </c>
      <c r="W152" s="627" t="s">
        <v>605</v>
      </c>
      <c r="X152" s="745"/>
    </row>
    <row r="153" spans="22:24" hidden="1">
      <c r="V153" s="626">
        <v>510</v>
      </c>
      <c r="W153" s="627" t="s">
        <v>606</v>
      </c>
      <c r="X153" s="745"/>
    </row>
    <row r="154" spans="22:24" hidden="1">
      <c r="V154" s="626">
        <v>511</v>
      </c>
      <c r="W154" s="627" t="s">
        <v>607</v>
      </c>
      <c r="X154" s="745"/>
    </row>
    <row r="155" spans="22:24" hidden="1">
      <c r="V155" s="626">
        <v>514</v>
      </c>
      <c r="W155" s="627" t="s">
        <v>608</v>
      </c>
      <c r="X155" s="745"/>
    </row>
    <row r="156" spans="22:24" hidden="1">
      <c r="V156" s="626">
        <v>519</v>
      </c>
      <c r="W156" s="627" t="s">
        <v>609</v>
      </c>
      <c r="X156" s="745"/>
    </row>
    <row r="157" spans="22:24" hidden="1">
      <c r="V157" s="626">
        <v>522</v>
      </c>
      <c r="W157" s="627" t="s">
        <v>610</v>
      </c>
      <c r="X157" s="745"/>
    </row>
    <row r="158" spans="22:24" hidden="1">
      <c r="V158" s="626">
        <v>524</v>
      </c>
      <c r="W158" s="627" t="s">
        <v>611</v>
      </c>
      <c r="X158" s="745"/>
    </row>
    <row r="159" spans="22:24" hidden="1">
      <c r="V159" s="626">
        <v>599</v>
      </c>
      <c r="W159" s="627" t="s">
        <v>612</v>
      </c>
      <c r="X159" s="745"/>
    </row>
    <row r="160" spans="22:24" hidden="1">
      <c r="V160" s="626">
        <v>603</v>
      </c>
      <c r="W160" s="627" t="s">
        <v>613</v>
      </c>
      <c r="X160" s="745"/>
    </row>
    <row r="161" spans="22:24" hidden="1">
      <c r="V161" s="626">
        <v>606</v>
      </c>
      <c r="W161" s="627" t="s">
        <v>614</v>
      </c>
      <c r="X161" s="745"/>
    </row>
    <row r="162" spans="22:24" hidden="1">
      <c r="V162" s="626">
        <v>615</v>
      </c>
      <c r="W162" s="627" t="s">
        <v>615</v>
      </c>
      <c r="X162" s="745"/>
    </row>
    <row r="163" spans="22:24" hidden="1">
      <c r="V163" s="626">
        <v>625</v>
      </c>
      <c r="W163" s="627" t="s">
        <v>616</v>
      </c>
      <c r="X163" s="745"/>
    </row>
    <row r="164" spans="22:24" hidden="1">
      <c r="V164" s="626">
        <v>626</v>
      </c>
      <c r="W164" s="627" t="s">
        <v>617</v>
      </c>
      <c r="X164" s="745"/>
    </row>
    <row r="165" spans="22:24" hidden="1">
      <c r="V165" s="626">
        <v>633</v>
      </c>
      <c r="W165" s="627" t="s">
        <v>618</v>
      </c>
      <c r="X165" s="745"/>
    </row>
    <row r="166" spans="22:24" hidden="1">
      <c r="V166" s="626">
        <v>638</v>
      </c>
      <c r="W166" s="627" t="s">
        <v>619</v>
      </c>
      <c r="X166" s="745"/>
    </row>
    <row r="167" spans="22:24" hidden="1">
      <c r="V167" s="626">
        <v>641</v>
      </c>
      <c r="W167" s="627" t="s">
        <v>620</v>
      </c>
      <c r="X167" s="745"/>
    </row>
    <row r="168" spans="22:24" hidden="1">
      <c r="V168" s="626">
        <v>643</v>
      </c>
      <c r="W168" s="627" t="s">
        <v>621</v>
      </c>
      <c r="X168" s="745"/>
    </row>
    <row r="169" spans="22:24" hidden="1">
      <c r="V169" s="626">
        <v>645</v>
      </c>
      <c r="W169" s="629" t="s">
        <v>622</v>
      </c>
      <c r="X169" s="744"/>
    </row>
    <row r="170" spans="22:24" hidden="1">
      <c r="V170" s="626">
        <v>648</v>
      </c>
      <c r="W170" s="627" t="s">
        <v>623</v>
      </c>
      <c r="X170" s="745"/>
    </row>
    <row r="171" spans="22:24" hidden="1">
      <c r="V171" s="626">
        <v>654</v>
      </c>
      <c r="W171" s="627" t="s">
        <v>624</v>
      </c>
      <c r="X171" s="745"/>
    </row>
    <row r="172" spans="22:24" hidden="1">
      <c r="V172" s="626">
        <v>666</v>
      </c>
      <c r="W172" s="627" t="s">
        <v>625</v>
      </c>
      <c r="X172" s="745"/>
    </row>
    <row r="173" spans="22:24" hidden="1">
      <c r="V173" s="626">
        <v>677</v>
      </c>
      <c r="W173" s="627" t="s">
        <v>626</v>
      </c>
      <c r="X173" s="745"/>
    </row>
    <row r="174" spans="22:24" hidden="1">
      <c r="V174" s="626">
        <v>683</v>
      </c>
      <c r="W174" s="627" t="s">
        <v>627</v>
      </c>
      <c r="X174" s="745"/>
    </row>
    <row r="175" spans="22:24" hidden="1">
      <c r="V175" s="626">
        <v>686</v>
      </c>
      <c r="W175" s="627" t="s">
        <v>628</v>
      </c>
      <c r="X175" s="745"/>
    </row>
    <row r="176" spans="22:24" hidden="1">
      <c r="V176" s="626">
        <v>687</v>
      </c>
      <c r="W176" s="627" t="s">
        <v>629</v>
      </c>
      <c r="X176" s="745"/>
    </row>
    <row r="177" spans="22:24" hidden="1">
      <c r="V177" s="626">
        <v>688</v>
      </c>
      <c r="W177" s="627" t="s">
        <v>630</v>
      </c>
      <c r="X177" s="745"/>
    </row>
    <row r="178" spans="22:24" hidden="1">
      <c r="V178" s="626">
        <v>693</v>
      </c>
      <c r="W178" s="627" t="s">
        <v>631</v>
      </c>
      <c r="X178" s="745"/>
    </row>
    <row r="179" spans="22:24" hidden="1">
      <c r="V179" s="626">
        <v>694</v>
      </c>
      <c r="W179" s="627" t="s">
        <v>632</v>
      </c>
      <c r="X179" s="745"/>
    </row>
    <row r="180" spans="22:24" hidden="1">
      <c r="V180" s="626">
        <v>695</v>
      </c>
      <c r="W180" s="627" t="s">
        <v>633</v>
      </c>
      <c r="X180" s="745"/>
    </row>
    <row r="181" spans="22:24" hidden="1">
      <c r="V181" s="626">
        <v>697</v>
      </c>
      <c r="W181" s="627" t="s">
        <v>634</v>
      </c>
      <c r="X181" s="745"/>
    </row>
    <row r="182" spans="22:24" hidden="1">
      <c r="V182" s="626">
        <v>698</v>
      </c>
      <c r="W182" s="627" t="s">
        <v>635</v>
      </c>
      <c r="X182" s="745"/>
    </row>
    <row r="183" spans="22:24" hidden="1">
      <c r="V183" s="626">
        <v>777</v>
      </c>
      <c r="W183" s="627" t="s">
        <v>636</v>
      </c>
      <c r="X183" s="745"/>
    </row>
    <row r="184" spans="22:24" hidden="1">
      <c r="V184" s="630">
        <v>787</v>
      </c>
      <c r="W184" s="631" t="s">
        <v>637</v>
      </c>
      <c r="X184" s="745"/>
    </row>
    <row r="185" spans="22:24" hidden="1">
      <c r="V185" s="630">
        <v>788</v>
      </c>
      <c r="W185" s="631" t="s">
        <v>638</v>
      </c>
      <c r="X185" s="745"/>
    </row>
    <row r="186" spans="22:24" ht="13.5" hidden="1" thickBot="1">
      <c r="V186" s="632">
        <v>906</v>
      </c>
      <c r="W186" s="633" t="s">
        <v>639</v>
      </c>
      <c r="X186" s="745"/>
    </row>
  </sheetData>
  <sheetProtection password="F4F5" sheet="1" objects="1" scenarios="1" selectLockedCells="1"/>
  <mergeCells count="37">
    <mergeCell ref="G15:H15"/>
    <mergeCell ref="C71:E71"/>
    <mergeCell ref="B4:H4"/>
    <mergeCell ref="G9:H9"/>
    <mergeCell ref="G16:H16"/>
    <mergeCell ref="G17:H17"/>
    <mergeCell ref="G18:H18"/>
    <mergeCell ref="G11:H11"/>
    <mergeCell ref="G12:H12"/>
    <mergeCell ref="G13:H13"/>
    <mergeCell ref="G14:H14"/>
    <mergeCell ref="B64:C64"/>
    <mergeCell ref="B67:C67"/>
    <mergeCell ref="B25:H25"/>
    <mergeCell ref="Q35:R35"/>
    <mergeCell ref="Q36:R36"/>
    <mergeCell ref="Q31:R31"/>
    <mergeCell ref="C45:H46"/>
    <mergeCell ref="C52:H53"/>
    <mergeCell ref="G71:H71"/>
    <mergeCell ref="Q5:R5"/>
    <mergeCell ref="Q11:R11"/>
    <mergeCell ref="C58:H60"/>
    <mergeCell ref="Q32:R32"/>
    <mergeCell ref="B5:H5"/>
    <mergeCell ref="B30:H30"/>
    <mergeCell ref="G64:H64"/>
    <mergeCell ref="AC7:AE7"/>
    <mergeCell ref="V32:W32"/>
    <mergeCell ref="V70:W70"/>
    <mergeCell ref="D27:F27"/>
    <mergeCell ref="D28:F28"/>
    <mergeCell ref="D21:F21"/>
    <mergeCell ref="U7:X7"/>
    <mergeCell ref="C38:H39"/>
    <mergeCell ref="Q39:S39"/>
    <mergeCell ref="G70:H70"/>
  </mergeCells>
  <conditionalFormatting sqref="D28">
    <cfRule type="cellIs" dxfId="2" priority="10" stopIfTrue="1" operator="equal">
      <formula>$R$6</formula>
    </cfRule>
    <cfRule type="cellIs" dxfId="1" priority="11" stopIfTrue="1" operator="equal">
      <formula>$R$8</formula>
    </cfRule>
    <cfRule type="cellIs" dxfId="0" priority="12" stopIfTrue="1" operator="equal">
      <formula>$R$7</formula>
    </cfRule>
  </conditionalFormatting>
  <dataValidations count="9">
    <dataValidation type="list" allowBlank="1" showInputMessage="1" showErrorMessage="1" sqref="D23">
      <formula1>$AE$8:$AE$38</formula1>
    </dataValidation>
    <dataValidation type="list" allowBlank="1" showInputMessage="1" showErrorMessage="1" sqref="E23">
      <formula1>$AD$8:$AD$19</formula1>
    </dataValidation>
    <dataValidation type="list" allowBlank="1" showInputMessage="1" showErrorMessage="1" sqref="F23">
      <formula1>$Y$9:$Y$11</formula1>
    </dataValidation>
    <dataValidation type="list" allowBlank="1" showInputMessage="1" showErrorMessage="1" errorTitle="Error de captura" error="debes elegir sólo uno de los modelos enlistados" sqref="D15">
      <formula1>$Y$8:$Y$11</formula1>
    </dataValidation>
    <dataValidation type="list" allowBlank="1" showInputMessage="1" showErrorMessage="1" errorTitle="Error de elección" error="Debes elegir un automóvil de la lista" sqref="D9">
      <formula1>$W$8:$W$30</formula1>
    </dataValidation>
    <dataValidation type="list" allowBlank="1" showInputMessage="1" showErrorMessage="1" errorTitle="Error" error="Sólo debes elegir entre Si o No" sqref="R3">
      <formula1>$Z$8:$Z$9</formula1>
    </dataValidation>
    <dataValidation type="list" allowBlank="1" showInputMessage="1" showErrorMessage="1" errorTitle="Error de Elección" error="Sólo se puede elegir entre una de las aseguradoras propuesta" sqref="D64">
      <formula1>$R$6:$R$9</formula1>
    </dataValidation>
    <dataValidation type="list" allowBlank="1" showInputMessage="1" showErrorMessage="1" errorTitle="Error de Elección" error="Sólo puedes elegir entre una de las formas de pago propuesta" sqref="D67">
      <formula1>$AA$25:$AA$30</formula1>
    </dataValidation>
    <dataValidation type="list" allowBlank="1" showInputMessage="1" showErrorMessage="1" errorTitle="Error de selección" error="Sólo puedes elegir de la lista desplegable de distribuidoras" sqref="G16:H16">
      <formula1>$V$71:$V$186</formula1>
    </dataValidation>
  </dataValidations>
  <pageMargins left="0.70866141732283472" right="0.70866141732283472" top="0.74803149606299213" bottom="0.74803149606299213" header="0.31496062992125984" footer="0.31496062992125984"/>
  <pageSetup scale="66" orientation="portrait" r:id="rId1"/>
  <drawing r:id="rId2"/>
  <legacyDrawing r:id="rId3"/>
</worksheet>
</file>

<file path=xl/worksheets/sheet10.xml><?xml version="1.0" encoding="utf-8"?>
<worksheet xmlns="http://schemas.openxmlformats.org/spreadsheetml/2006/main" xmlns:r="http://schemas.openxmlformats.org/officeDocument/2006/relationships">
  <sheetPr codeName="Hoja9">
    <tabColor indexed="10"/>
    <pageSetUpPr fitToPage="1"/>
  </sheetPr>
  <dimension ref="A2:AQ45"/>
  <sheetViews>
    <sheetView topLeftCell="AJ7" workbookViewId="0">
      <selection activeCell="AI7" sqref="A1:AI65536"/>
    </sheetView>
  </sheetViews>
  <sheetFormatPr baseColWidth="10" defaultColWidth="9.33203125" defaultRowHeight="12.75"/>
  <cols>
    <col min="1" max="1" width="25.5" style="247" hidden="1" customWidth="1"/>
    <col min="2" max="2" width="22.5" style="247" hidden="1" customWidth="1"/>
    <col min="3" max="3" width="18.83203125" style="247" hidden="1" customWidth="1"/>
    <col min="4" max="4" width="24" style="247" hidden="1" customWidth="1"/>
    <col min="5" max="5" width="20.5" style="247" hidden="1" customWidth="1"/>
    <col min="6" max="6" width="18.83203125" style="247" hidden="1" customWidth="1"/>
    <col min="7" max="7" width="14" style="251" hidden="1" customWidth="1"/>
    <col min="8" max="8" width="3.5" style="251" hidden="1" customWidth="1"/>
    <col min="9" max="9" width="11.1640625" style="251" hidden="1" customWidth="1"/>
    <col min="10" max="10" width="16.83203125" style="251" hidden="1" customWidth="1"/>
    <col min="11" max="11" width="18.5" style="251" hidden="1" customWidth="1"/>
    <col min="12" max="12" width="15.1640625" style="251" hidden="1" customWidth="1"/>
    <col min="13" max="13" width="16.33203125" style="251" hidden="1" customWidth="1"/>
    <col min="14" max="14" width="16.83203125" style="251" hidden="1" customWidth="1"/>
    <col min="15" max="15" width="15.6640625" style="251" hidden="1" customWidth="1"/>
    <col min="16" max="16" width="14.83203125" style="251" hidden="1" customWidth="1"/>
    <col min="17" max="17" width="17.6640625" style="251" hidden="1" customWidth="1"/>
    <col min="18" max="18" width="12" style="251" hidden="1" customWidth="1"/>
    <col min="19" max="19" width="15.6640625" style="251" hidden="1" customWidth="1"/>
    <col min="20" max="20" width="14.33203125" style="251" hidden="1" customWidth="1"/>
    <col min="21" max="21" width="15.5" style="251" hidden="1" customWidth="1"/>
    <col min="22" max="23" width="12" style="251" hidden="1" customWidth="1"/>
    <col min="24" max="24" width="12" style="250" hidden="1" customWidth="1"/>
    <col min="25" max="25" width="25" style="250" hidden="1" customWidth="1"/>
    <col min="26" max="26" width="16.83203125" style="250" hidden="1" customWidth="1"/>
    <col min="27" max="28" width="12" style="250" hidden="1" customWidth="1"/>
    <col min="29" max="29" width="24.6640625" style="250" hidden="1" customWidth="1"/>
    <col min="30" max="35" width="9.33203125" style="250" hidden="1" customWidth="1"/>
    <col min="36" max="39" width="9.33203125" style="250" customWidth="1"/>
    <col min="40" max="41" width="9.33203125" style="249" customWidth="1"/>
    <col min="42" max="43" width="9.33203125" style="248" customWidth="1"/>
    <col min="44" max="16384" width="9.33203125" style="247"/>
  </cols>
  <sheetData>
    <row r="2" spans="1:32">
      <c r="A2" s="270"/>
    </row>
    <row r="3" spans="1:32" ht="19.5">
      <c r="A3" s="1002" t="s">
        <v>165</v>
      </c>
      <c r="B3" s="1002"/>
      <c r="C3" s="1002"/>
      <c r="D3" s="1002"/>
      <c r="E3" s="1002"/>
      <c r="F3" s="1002"/>
      <c r="U3" s="250"/>
      <c r="V3" s="250"/>
      <c r="W3" s="250"/>
    </row>
    <row r="4" spans="1:32">
      <c r="A4" s="270"/>
      <c r="U4" s="284">
        <v>38875</v>
      </c>
      <c r="V4" s="250"/>
      <c r="W4" s="250"/>
    </row>
    <row r="5" spans="1:32">
      <c r="A5" s="270"/>
      <c r="U5" s="284"/>
      <c r="V5" s="250"/>
      <c r="W5" s="250"/>
    </row>
    <row r="6" spans="1:32" ht="13.5" thickBot="1">
      <c r="A6" s="270"/>
      <c r="U6" s="284"/>
      <c r="V6" s="250"/>
      <c r="W6" s="250"/>
    </row>
    <row r="7" spans="1:32" ht="13.5" thickBot="1">
      <c r="A7" s="999" t="s">
        <v>164</v>
      </c>
      <c r="B7" s="1000"/>
      <c r="D7" s="256"/>
      <c r="E7" s="256"/>
      <c r="F7" s="256"/>
      <c r="G7" s="252"/>
      <c r="H7" s="252"/>
      <c r="I7" s="252"/>
      <c r="J7" s="252"/>
      <c r="U7" s="250"/>
      <c r="V7" s="250"/>
      <c r="W7" s="250"/>
    </row>
    <row r="8" spans="1:32">
      <c r="A8" s="280" t="s">
        <v>163</v>
      </c>
      <c r="B8" s="279"/>
      <c r="D8" s="256"/>
      <c r="E8" s="256"/>
      <c r="F8" s="256"/>
      <c r="G8" s="252"/>
      <c r="H8" s="252"/>
      <c r="I8" s="252"/>
      <c r="J8" s="252"/>
      <c r="U8" s="250"/>
      <c r="V8" s="250"/>
      <c r="W8" s="250"/>
    </row>
    <row r="9" spans="1:32" ht="13.5" thickBot="1">
      <c r="A9" s="274" t="s">
        <v>162</v>
      </c>
      <c r="B9" s="283"/>
      <c r="C9" s="248"/>
      <c r="D9" s="272"/>
      <c r="E9" s="272"/>
      <c r="F9" s="272"/>
      <c r="G9" s="252"/>
      <c r="H9" s="252"/>
      <c r="I9" s="252"/>
      <c r="J9" s="252"/>
      <c r="U9" s="250"/>
      <c r="V9" s="250"/>
      <c r="W9" s="250"/>
    </row>
    <row r="10" spans="1:32" ht="13.5" thickBot="1">
      <c r="C10" s="248"/>
      <c r="D10" s="272"/>
      <c r="E10" s="272"/>
      <c r="F10" s="272"/>
      <c r="G10" s="252"/>
      <c r="H10" s="252"/>
      <c r="I10" s="252"/>
      <c r="J10" s="252"/>
      <c r="U10" s="250"/>
      <c r="V10" s="250"/>
      <c r="W10" s="250"/>
    </row>
    <row r="11" spans="1:32" ht="13.5" thickBot="1">
      <c r="A11" s="999" t="s">
        <v>161</v>
      </c>
      <c r="B11" s="1000"/>
      <c r="C11" s="248"/>
      <c r="D11" s="282" t="s">
        <v>134</v>
      </c>
      <c r="E11" s="282"/>
      <c r="F11" s="282"/>
      <c r="G11" s="281"/>
      <c r="H11" s="281"/>
      <c r="I11" s="281"/>
      <c r="J11" s="281"/>
      <c r="U11" s="250"/>
      <c r="V11" s="250"/>
      <c r="W11" s="250"/>
    </row>
    <row r="12" spans="1:32">
      <c r="A12" s="280" t="s">
        <v>29</v>
      </c>
      <c r="B12" s="279">
        <v>12</v>
      </c>
      <c r="C12" s="248"/>
      <c r="D12" s="272" t="s">
        <v>133</v>
      </c>
      <c r="E12" s="272"/>
      <c r="F12" s="278" t="s">
        <v>98</v>
      </c>
      <c r="G12" s="277"/>
      <c r="H12" s="277"/>
      <c r="I12" s="277"/>
      <c r="J12" s="277" t="s">
        <v>132</v>
      </c>
      <c r="U12" s="250"/>
      <c r="V12" s="250"/>
      <c r="W12" s="250"/>
      <c r="X12" s="250" t="s">
        <v>68</v>
      </c>
      <c r="Y12" s="250" t="s">
        <v>65</v>
      </c>
      <c r="Z12" s="250" t="s">
        <v>66</v>
      </c>
    </row>
    <row r="13" spans="1:32">
      <c r="A13" s="276" t="s">
        <v>68</v>
      </c>
      <c r="B13" s="275" t="s">
        <v>113</v>
      </c>
      <c r="C13" s="248"/>
      <c r="D13" s="272" t="s">
        <v>97</v>
      </c>
      <c r="E13" s="272"/>
      <c r="F13" s="211">
        <v>450</v>
      </c>
      <c r="G13" s="252"/>
      <c r="H13" s="252"/>
      <c r="I13" s="252"/>
      <c r="J13" s="260">
        <v>250</v>
      </c>
      <c r="U13" s="250"/>
      <c r="V13" s="250"/>
      <c r="W13" s="250"/>
      <c r="X13" s="250" t="s">
        <v>65</v>
      </c>
      <c r="Y13" s="253" t="s">
        <v>160</v>
      </c>
      <c r="Z13" s="261" t="s">
        <v>44</v>
      </c>
      <c r="AA13" s="250" t="s">
        <v>147</v>
      </c>
      <c r="AC13" s="261" t="s">
        <v>160</v>
      </c>
      <c r="AD13" s="250" t="s">
        <v>65</v>
      </c>
      <c r="AE13" s="253" t="s">
        <v>150</v>
      </c>
      <c r="AF13" s="252" t="s">
        <v>147</v>
      </c>
    </row>
    <row r="14" spans="1:32">
      <c r="A14" s="276" t="s">
        <v>67</v>
      </c>
      <c r="B14" s="275" t="str">
        <f>Cotizador!D9</f>
        <v>F-250</v>
      </c>
      <c r="C14" s="248"/>
      <c r="D14" s="272" t="s">
        <v>131</v>
      </c>
      <c r="E14" s="272"/>
      <c r="F14" s="51">
        <v>0.28499999999999998</v>
      </c>
      <c r="G14" s="252"/>
      <c r="H14" s="252"/>
      <c r="I14" s="252"/>
      <c r="J14" s="263">
        <v>0.28499999999999998</v>
      </c>
      <c r="U14" s="250"/>
      <c r="V14" s="250"/>
      <c r="W14" s="250"/>
      <c r="X14" s="250" t="s">
        <v>66</v>
      </c>
      <c r="Y14" s="253" t="s">
        <v>159</v>
      </c>
      <c r="Z14" s="261" t="s">
        <v>55</v>
      </c>
      <c r="AA14" s="250" t="s">
        <v>147</v>
      </c>
      <c r="AC14" s="261" t="s">
        <v>159</v>
      </c>
      <c r="AD14" s="250" t="s">
        <v>65</v>
      </c>
      <c r="AE14" s="253" t="s">
        <v>50</v>
      </c>
      <c r="AF14" s="252" t="s">
        <v>147</v>
      </c>
    </row>
    <row r="15" spans="1:32" ht="13.5" thickBot="1">
      <c r="A15" s="274" t="s">
        <v>72</v>
      </c>
      <c r="B15" s="273">
        <f>Cotizador!D17</f>
        <v>184100</v>
      </c>
      <c r="C15" s="248"/>
      <c r="D15" s="272" t="s">
        <v>130</v>
      </c>
      <c r="E15" s="272"/>
      <c r="F15" s="51"/>
      <c r="G15" s="252"/>
      <c r="H15" s="252"/>
      <c r="I15" s="252"/>
      <c r="J15" s="263">
        <v>0.28499999999999998</v>
      </c>
      <c r="U15" s="250"/>
      <c r="V15" s="250"/>
      <c r="W15" s="250"/>
      <c r="Y15" s="253" t="s">
        <v>122</v>
      </c>
      <c r="Z15" s="261" t="s">
        <v>150</v>
      </c>
      <c r="AA15" s="250" t="s">
        <v>147</v>
      </c>
      <c r="AC15" s="261" t="s">
        <v>20</v>
      </c>
      <c r="AD15" s="250" t="s">
        <v>65</v>
      </c>
      <c r="AE15" s="253" t="s">
        <v>52</v>
      </c>
      <c r="AF15" s="252" t="s">
        <v>147</v>
      </c>
    </row>
    <row r="16" spans="1:32">
      <c r="C16" s="248"/>
      <c r="D16" s="272" t="s">
        <v>127</v>
      </c>
      <c r="E16" s="272"/>
      <c r="F16" s="51">
        <v>1</v>
      </c>
      <c r="G16" s="252"/>
      <c r="H16" s="252"/>
      <c r="I16" s="252"/>
      <c r="J16" s="263">
        <v>0.1258</v>
      </c>
      <c r="U16" s="250"/>
      <c r="V16" s="250"/>
      <c r="W16" s="250"/>
      <c r="Y16" s="253" t="s">
        <v>22</v>
      </c>
      <c r="Z16" s="261" t="s">
        <v>50</v>
      </c>
      <c r="AA16" s="250" t="s">
        <v>147</v>
      </c>
      <c r="AC16" s="261" t="s">
        <v>22</v>
      </c>
      <c r="AD16" s="250" t="s">
        <v>65</v>
      </c>
      <c r="AE16" s="253" t="s">
        <v>149</v>
      </c>
      <c r="AF16" s="252" t="s">
        <v>147</v>
      </c>
    </row>
    <row r="17" spans="1:32">
      <c r="C17" s="248"/>
      <c r="D17" s="272" t="s">
        <v>125</v>
      </c>
      <c r="E17" s="272" t="s">
        <v>124</v>
      </c>
      <c r="F17" s="51">
        <v>1</v>
      </c>
      <c r="G17" s="252"/>
      <c r="H17" s="252"/>
      <c r="I17" s="252"/>
      <c r="J17" s="263">
        <v>-0.23100000000000001</v>
      </c>
      <c r="U17" s="250"/>
      <c r="V17" s="250"/>
      <c r="W17" s="250"/>
      <c r="Y17" s="253" t="s">
        <v>15</v>
      </c>
      <c r="Z17" s="261" t="s">
        <v>52</v>
      </c>
      <c r="AA17" s="250" t="s">
        <v>147</v>
      </c>
      <c r="AC17" s="261" t="s">
        <v>15</v>
      </c>
      <c r="AD17" s="250" t="s">
        <v>65</v>
      </c>
      <c r="AE17" s="253" t="s">
        <v>141</v>
      </c>
      <c r="AF17" s="252" t="s">
        <v>147</v>
      </c>
    </row>
    <row r="18" spans="1:32">
      <c r="D18" s="256"/>
      <c r="E18" s="256"/>
      <c r="F18" s="256"/>
      <c r="G18" s="252"/>
      <c r="H18" s="252"/>
      <c r="I18" s="252"/>
      <c r="J18" s="252"/>
      <c r="U18" s="250"/>
      <c r="V18" s="250"/>
      <c r="W18" s="250"/>
      <c r="Y18" s="253" t="s">
        <v>21</v>
      </c>
      <c r="Z18" s="253" t="s">
        <v>149</v>
      </c>
      <c r="AA18" s="250" t="s">
        <v>147</v>
      </c>
      <c r="AC18" s="261" t="s">
        <v>21</v>
      </c>
      <c r="AD18" s="250" t="s">
        <v>65</v>
      </c>
      <c r="AE18" s="253" t="s">
        <v>54</v>
      </c>
      <c r="AF18" s="252" t="s">
        <v>147</v>
      </c>
    </row>
    <row r="19" spans="1:32">
      <c r="A19" s="271" t="s">
        <v>158</v>
      </c>
      <c r="U19" s="250"/>
      <c r="V19" s="250"/>
      <c r="W19" s="250"/>
      <c r="Y19" s="253" t="s">
        <v>40</v>
      </c>
      <c r="Z19" s="253" t="s">
        <v>141</v>
      </c>
      <c r="AA19" s="250" t="s">
        <v>147</v>
      </c>
      <c r="AC19" s="261" t="s">
        <v>40</v>
      </c>
      <c r="AD19" s="250" t="s">
        <v>65</v>
      </c>
      <c r="AE19" s="253" t="s">
        <v>44</v>
      </c>
      <c r="AF19" s="252" t="s">
        <v>147</v>
      </c>
    </row>
    <row r="20" spans="1:32">
      <c r="U20" s="250"/>
      <c r="V20" s="250"/>
      <c r="W20" s="250"/>
      <c r="Y20" s="253" t="s">
        <v>104</v>
      </c>
      <c r="Z20" s="253" t="s">
        <v>54</v>
      </c>
      <c r="AA20" s="250" t="s">
        <v>147</v>
      </c>
      <c r="AC20" s="261" t="s">
        <v>104</v>
      </c>
      <c r="AD20" s="250" t="s">
        <v>65</v>
      </c>
      <c r="AE20" s="261" t="s">
        <v>106</v>
      </c>
      <c r="AF20" s="252" t="s">
        <v>147</v>
      </c>
    </row>
    <row r="21" spans="1:32">
      <c r="A21" s="270"/>
      <c r="B21" s="269" t="s">
        <v>57</v>
      </c>
      <c r="C21" s="269" t="s">
        <v>58</v>
      </c>
      <c r="D21" s="269" t="s">
        <v>59</v>
      </c>
      <c r="E21" s="269" t="s">
        <v>60</v>
      </c>
      <c r="F21" s="269" t="s">
        <v>61</v>
      </c>
      <c r="U21" s="250"/>
      <c r="V21" s="250"/>
      <c r="W21" s="250"/>
      <c r="Y21" s="253" t="s">
        <v>157</v>
      </c>
      <c r="Z21" s="261" t="s">
        <v>105</v>
      </c>
      <c r="AA21" s="250" t="s">
        <v>147</v>
      </c>
      <c r="AC21" s="261" t="s">
        <v>156</v>
      </c>
      <c r="AD21" s="250" t="s">
        <v>65</v>
      </c>
      <c r="AE21" s="253" t="s">
        <v>55</v>
      </c>
      <c r="AF21" s="252" t="s">
        <v>147</v>
      </c>
    </row>
    <row r="22" spans="1:32">
      <c r="A22" s="265" t="s">
        <v>73</v>
      </c>
      <c r="B22" s="267">
        <f>I30</f>
        <v>12</v>
      </c>
      <c r="C22" s="268">
        <f>I31</f>
        <v>12</v>
      </c>
      <c r="D22" s="268">
        <f>I32</f>
        <v>12</v>
      </c>
      <c r="E22" s="267">
        <f>I33</f>
        <v>12</v>
      </c>
      <c r="F22" s="267">
        <f>I34</f>
        <v>12</v>
      </c>
      <c r="K22" s="250"/>
      <c r="U22" s="250"/>
      <c r="V22" s="250"/>
      <c r="W22" s="250"/>
      <c r="Y22" s="253" t="s">
        <v>17</v>
      </c>
      <c r="Z22" s="253" t="s">
        <v>106</v>
      </c>
      <c r="AA22" s="250" t="s">
        <v>147</v>
      </c>
      <c r="AC22" s="261" t="s">
        <v>17</v>
      </c>
      <c r="AD22" s="250" t="s">
        <v>65</v>
      </c>
      <c r="AE22" s="250" t="s">
        <v>111</v>
      </c>
      <c r="AF22" s="250" t="s">
        <v>147</v>
      </c>
    </row>
    <row r="23" spans="1:32">
      <c r="A23" s="265" t="s">
        <v>69</v>
      </c>
      <c r="B23" s="265">
        <f>J30</f>
        <v>1</v>
      </c>
      <c r="C23" s="266">
        <f>J31</f>
        <v>1</v>
      </c>
      <c r="D23" s="266">
        <f>J32</f>
        <v>2</v>
      </c>
      <c r="E23" s="265">
        <f>J33</f>
        <v>4</v>
      </c>
      <c r="F23" s="265">
        <f>J34</f>
        <v>12</v>
      </c>
      <c r="U23" s="250"/>
      <c r="V23" s="250"/>
      <c r="W23" s="250"/>
      <c r="Y23" s="253" t="s">
        <v>155</v>
      </c>
      <c r="Z23" s="262" t="s">
        <v>148</v>
      </c>
      <c r="AA23" s="250" t="s">
        <v>65</v>
      </c>
      <c r="AC23" s="261" t="s">
        <v>78</v>
      </c>
      <c r="AD23" s="250" t="s">
        <v>65</v>
      </c>
      <c r="AE23" s="250" t="s">
        <v>112</v>
      </c>
      <c r="AF23" s="250" t="s">
        <v>147</v>
      </c>
    </row>
    <row r="24" spans="1:32">
      <c r="A24" s="265" t="s">
        <v>70</v>
      </c>
      <c r="B24" s="27">
        <f>U30</f>
        <v>14368.862000000001</v>
      </c>
      <c r="C24" s="56">
        <f>U31/J31</f>
        <v>14368.862000000001</v>
      </c>
      <c r="D24" s="56">
        <f>U32/J32</f>
        <v>7234.722017000001</v>
      </c>
      <c r="E24" s="27">
        <f>U33/J33</f>
        <v>3642.5065169999998</v>
      </c>
      <c r="F24" s="27">
        <f>U34/J34</f>
        <v>1222.5506751666667</v>
      </c>
      <c r="K24" s="264"/>
      <c r="L24" s="264"/>
      <c r="M24" s="264"/>
      <c r="N24" s="264"/>
      <c r="O24" s="264"/>
      <c r="U24" s="250"/>
      <c r="V24" s="250"/>
      <c r="W24" s="250"/>
      <c r="Y24" s="261" t="s">
        <v>154</v>
      </c>
      <c r="Z24" s="262"/>
      <c r="AA24" s="250" t="s">
        <v>65</v>
      </c>
      <c r="AC24" s="261" t="s">
        <v>153</v>
      </c>
      <c r="AD24" s="250" t="s">
        <v>65</v>
      </c>
      <c r="AE24" s="253" t="s">
        <v>148</v>
      </c>
      <c r="AF24" s="252" t="s">
        <v>147</v>
      </c>
    </row>
    <row r="25" spans="1:32">
      <c r="A25" s="265" t="s">
        <v>71</v>
      </c>
      <c r="B25" s="27">
        <f>B24/J30</f>
        <v>14368.862000000001</v>
      </c>
      <c r="C25" s="56">
        <f>U31</f>
        <v>14368.862000000001</v>
      </c>
      <c r="D25" s="56">
        <f>U32</f>
        <v>14469.444034000002</v>
      </c>
      <c r="E25" s="27">
        <f>U33</f>
        <v>14570.026067999999</v>
      </c>
      <c r="F25" s="27">
        <f>U34</f>
        <v>14670.608102</v>
      </c>
      <c r="K25" s="264"/>
      <c r="L25" s="264"/>
      <c r="M25" s="264"/>
      <c r="N25" s="264"/>
      <c r="O25" s="264"/>
      <c r="U25" s="250"/>
      <c r="V25" s="250"/>
      <c r="W25" s="250"/>
      <c r="Y25" s="253" t="s">
        <v>1</v>
      </c>
      <c r="Z25" s="262"/>
      <c r="AA25" s="250" t="s">
        <v>65</v>
      </c>
      <c r="AC25" s="261" t="s">
        <v>1</v>
      </c>
      <c r="AD25" s="250" t="s">
        <v>65</v>
      </c>
    </row>
    <row r="26" spans="1:32">
      <c r="U26" s="250"/>
      <c r="V26" s="250"/>
      <c r="W26" s="250"/>
      <c r="Y26" s="253" t="s">
        <v>11</v>
      </c>
      <c r="Z26" s="262"/>
      <c r="AA26" s="250" t="s">
        <v>65</v>
      </c>
      <c r="AC26" s="261" t="s">
        <v>11</v>
      </c>
      <c r="AD26" s="250" t="s">
        <v>65</v>
      </c>
    </row>
    <row r="27" spans="1:32" s="256" customFormat="1">
      <c r="A27" s="256" t="s">
        <v>64</v>
      </c>
      <c r="B27" s="333"/>
      <c r="C27" s="330"/>
      <c r="D27" s="330"/>
      <c r="E27" s="330"/>
      <c r="F27" s="330"/>
      <c r="Y27" s="259" t="s">
        <v>18</v>
      </c>
      <c r="Z27" s="357"/>
      <c r="AA27" s="255" t="s">
        <v>65</v>
      </c>
      <c r="AC27" s="257" t="s">
        <v>18</v>
      </c>
      <c r="AD27" s="255" t="s">
        <v>65</v>
      </c>
    </row>
    <row r="28" spans="1:32" s="256" customFormat="1">
      <c r="A28" s="258"/>
      <c r="B28" s="331"/>
      <c r="C28" s="330"/>
      <c r="D28" s="330"/>
      <c r="E28" s="330"/>
      <c r="F28" s="330"/>
      <c r="M28" s="47"/>
      <c r="R28" s="47"/>
      <c r="Y28" s="259" t="s">
        <v>152</v>
      </c>
      <c r="Z28" s="357"/>
      <c r="AA28" s="255" t="s">
        <v>65</v>
      </c>
      <c r="AC28" s="257" t="s">
        <v>9</v>
      </c>
      <c r="AD28" s="255" t="s">
        <v>65</v>
      </c>
    </row>
    <row r="29" spans="1:32" s="256" customFormat="1" ht="38.25">
      <c r="A29" s="358" t="s">
        <v>72</v>
      </c>
      <c r="B29" s="358" t="s">
        <v>91</v>
      </c>
      <c r="C29" s="358" t="s">
        <v>92</v>
      </c>
      <c r="D29" s="358" t="s">
        <v>93</v>
      </c>
      <c r="E29" s="358" t="s">
        <v>76</v>
      </c>
      <c r="F29" s="358" t="s">
        <v>94</v>
      </c>
      <c r="G29" s="1001" t="s">
        <v>77</v>
      </c>
      <c r="H29" s="1001"/>
      <c r="I29" s="358" t="s">
        <v>62</v>
      </c>
      <c r="J29" s="358" t="s">
        <v>63</v>
      </c>
      <c r="K29" s="358" t="s">
        <v>95</v>
      </c>
      <c r="L29" s="358" t="s">
        <v>76</v>
      </c>
      <c r="M29" s="358" t="s">
        <v>86</v>
      </c>
      <c r="N29" s="358" t="s">
        <v>96</v>
      </c>
      <c r="O29" s="358" t="s">
        <v>74</v>
      </c>
      <c r="P29" s="358" t="s">
        <v>75</v>
      </c>
      <c r="Q29" s="358" t="s">
        <v>87</v>
      </c>
      <c r="R29" s="358" t="s">
        <v>88</v>
      </c>
      <c r="S29" s="358" t="s">
        <v>89</v>
      </c>
      <c r="T29" s="358" t="s">
        <v>99</v>
      </c>
      <c r="U29" s="358" t="s">
        <v>100</v>
      </c>
      <c r="Y29" s="259" t="s">
        <v>7</v>
      </c>
      <c r="Z29" s="258"/>
      <c r="AA29" s="255" t="s">
        <v>65</v>
      </c>
      <c r="AC29" s="257" t="s">
        <v>7</v>
      </c>
      <c r="AD29" s="255" t="s">
        <v>65</v>
      </c>
    </row>
    <row r="30" spans="1:32" s="256" customFormat="1">
      <c r="A30" s="359">
        <f>$B$15</f>
        <v>184100</v>
      </c>
      <c r="B30" s="360">
        <f>VLOOKUP($B$14,'Cuotas GNP p1 11 y 12'!$B$7:$E$35,3,FALSE)</f>
        <v>5.3775000000000004</v>
      </c>
      <c r="C30" s="46">
        <f>ROUND(A30*B31/100,2)</f>
        <v>9899.98</v>
      </c>
      <c r="D30" s="359">
        <f>VLOOKUP($B$14,'Cuotas GNP p1 11 y 12'!$B$7:$E$35,4,FALSE)</f>
        <v>2036.97</v>
      </c>
      <c r="E30" s="359">
        <f>C30+D30</f>
        <v>11936.949999999999</v>
      </c>
      <c r="F30" s="256" t="s">
        <v>57</v>
      </c>
      <c r="G30" s="256">
        <f>$B$12/$B$12</f>
        <v>1</v>
      </c>
      <c r="H30" s="256">
        <f>INT(G30)</f>
        <v>1</v>
      </c>
      <c r="I30" s="256">
        <f>$B$12*H30</f>
        <v>12</v>
      </c>
      <c r="J30" s="256">
        <v>1</v>
      </c>
      <c r="K30" s="256">
        <f>VLOOKUP(I30,'FACTOR LP GNP p1 11 y 12'!$A$11:$B$70,2,FALSE)</f>
        <v>1</v>
      </c>
      <c r="L30" s="46">
        <f>ROUND(E30*K30,2)</f>
        <v>11936.95</v>
      </c>
      <c r="M30" s="46">
        <f>L30*$F$14</f>
        <v>3402.0307499999999</v>
      </c>
      <c r="N30" s="46">
        <f>$F$13</f>
        <v>450</v>
      </c>
      <c r="O30" s="46">
        <f>L30+N30</f>
        <v>12386.95</v>
      </c>
      <c r="P30" s="361">
        <v>0</v>
      </c>
      <c r="Q30" s="362">
        <f>O30*P30</f>
        <v>0</v>
      </c>
      <c r="R30" s="362">
        <f>Q30*$F$15</f>
        <v>0</v>
      </c>
      <c r="S30" s="46">
        <f>O30+Q30</f>
        <v>12386.95</v>
      </c>
      <c r="T30" s="46">
        <f>S30*0.16</f>
        <v>1981.9120000000003</v>
      </c>
      <c r="U30" s="46">
        <f>S30+T30</f>
        <v>14368.862000000001</v>
      </c>
      <c r="Y30" s="259" t="s">
        <v>55</v>
      </c>
      <c r="Z30" s="258"/>
      <c r="AA30" s="255" t="s">
        <v>65</v>
      </c>
      <c r="AC30" s="257" t="s">
        <v>55</v>
      </c>
      <c r="AD30" s="255" t="s">
        <v>65</v>
      </c>
    </row>
    <row r="31" spans="1:32" s="256" customFormat="1">
      <c r="A31" s="359">
        <f>$B$15</f>
        <v>184100</v>
      </c>
      <c r="B31" s="360">
        <f>VLOOKUP($B$14,'Cuotas GNP p1 11 y 12'!$B$7:$E$35,3,FALSE)</f>
        <v>5.3775000000000004</v>
      </c>
      <c r="C31" s="46">
        <f>ROUND(A31*B32/100,2)</f>
        <v>9899.98</v>
      </c>
      <c r="D31" s="359">
        <f>VLOOKUP($B$14,'Cuotas GNP p1 11 y 12'!$B$7:$E$35,4,FALSE)</f>
        <v>2036.97</v>
      </c>
      <c r="E31" s="359">
        <f>C31+D31</f>
        <v>11936.949999999999</v>
      </c>
      <c r="F31" s="256" t="s">
        <v>58</v>
      </c>
      <c r="G31" s="256">
        <f>$B$12/12</f>
        <v>1</v>
      </c>
      <c r="H31" s="256">
        <f>INT(G31)</f>
        <v>1</v>
      </c>
      <c r="I31" s="256">
        <f>IF(H31-G31=0,H31*12,(H31+1)*12)</f>
        <v>12</v>
      </c>
      <c r="J31" s="256">
        <f>I31/12</f>
        <v>1</v>
      </c>
      <c r="K31" s="256">
        <f>VLOOKUP(I31,'FACTOR LP GNP p1 11 y 12'!$A$11:$B$70,2,FALSE)</f>
        <v>1</v>
      </c>
      <c r="L31" s="46">
        <f>ROUND(E31*K31,2)</f>
        <v>11936.95</v>
      </c>
      <c r="M31" s="46">
        <f>L31*$F$14</f>
        <v>3402.0307499999999</v>
      </c>
      <c r="N31" s="46">
        <f>$F$13</f>
        <v>450</v>
      </c>
      <c r="O31" s="46">
        <f>L31+N31</f>
        <v>12386.95</v>
      </c>
      <c r="P31" s="361">
        <f>VLOOKUP(J31,'RECARGO P FRACC GNP p1 11 y 12'!$B$15:$F$74,2,FALSE)</f>
        <v>0</v>
      </c>
      <c r="Q31" s="362">
        <f>O31*P31</f>
        <v>0</v>
      </c>
      <c r="R31" s="362">
        <f>Q31*$F$15</f>
        <v>0</v>
      </c>
      <c r="S31" s="46">
        <f>O31+Q31</f>
        <v>12386.95</v>
      </c>
      <c r="T31" s="46">
        <f>S31*0.16</f>
        <v>1981.9120000000003</v>
      </c>
      <c r="U31" s="46">
        <f>S31+T31</f>
        <v>14368.862000000001</v>
      </c>
      <c r="Y31" s="259" t="s">
        <v>151</v>
      </c>
      <c r="Z31" s="258"/>
      <c r="AA31" s="255" t="s">
        <v>65</v>
      </c>
      <c r="AC31" s="257" t="s">
        <v>4</v>
      </c>
      <c r="AD31" s="255" t="s">
        <v>65</v>
      </c>
    </row>
    <row r="32" spans="1:32" s="256" customFormat="1">
      <c r="A32" s="359">
        <f>$B$15</f>
        <v>184100</v>
      </c>
      <c r="B32" s="360">
        <f>VLOOKUP($B$14,'Cuotas GNP p1 11 y 12'!$B$7:$E$35,3,FALSE)</f>
        <v>5.3775000000000004</v>
      </c>
      <c r="C32" s="46">
        <f>ROUND(A32*B33/100,2)</f>
        <v>9899.98</v>
      </c>
      <c r="D32" s="359">
        <f>VLOOKUP($B$14,'Cuotas GNP p1 11 y 12'!$B$7:$E$35,4,FALSE)</f>
        <v>2036.97</v>
      </c>
      <c r="E32" s="359">
        <f>C32+D32</f>
        <v>11936.949999999999</v>
      </c>
      <c r="F32" s="256" t="s">
        <v>59</v>
      </c>
      <c r="G32" s="256">
        <f>IF($B$12/6&lt;=1,"",$B$12/6)</f>
        <v>2</v>
      </c>
      <c r="H32" s="256">
        <f>INT(G32)</f>
        <v>2</v>
      </c>
      <c r="I32" s="256">
        <f>IF(H32-G32=0,H32*6,(H32+1)*6)</f>
        <v>12</v>
      </c>
      <c r="J32" s="256">
        <f>I32/6</f>
        <v>2</v>
      </c>
      <c r="K32" s="256">
        <f>VLOOKUP(I32,'FACTOR LP GNP p1 11 y 12'!$A$11:$B$70,2,FALSE)</f>
        <v>1</v>
      </c>
      <c r="L32" s="46">
        <f>ROUND(E32*K32,2)</f>
        <v>11936.95</v>
      </c>
      <c r="M32" s="46">
        <f>L32*$F$14</f>
        <v>3402.0307499999999</v>
      </c>
      <c r="N32" s="46">
        <f>$F$13</f>
        <v>450</v>
      </c>
      <c r="O32" s="46">
        <f>L32+N32</f>
        <v>12386.95</v>
      </c>
      <c r="P32" s="361">
        <f>VLOOKUP(J32,'RECARGO P FRACC GNP p1 11 y 12'!$B$15:$F$74,3,FALSE)</f>
        <v>7.0000000000000001E-3</v>
      </c>
      <c r="Q32" s="362">
        <f>O32*P32</f>
        <v>86.708650000000006</v>
      </c>
      <c r="R32" s="362">
        <f>Q32*$F$15</f>
        <v>0</v>
      </c>
      <c r="S32" s="46">
        <f>O32+Q32</f>
        <v>12473.658650000001</v>
      </c>
      <c r="T32" s="46">
        <f>S32*0.16</f>
        <v>1995.7853840000002</v>
      </c>
      <c r="U32" s="46">
        <f>S32+T32</f>
        <v>14469.444034000002</v>
      </c>
      <c r="Y32" s="259" t="s">
        <v>114</v>
      </c>
      <c r="Z32" s="258"/>
      <c r="AA32" s="255" t="s">
        <v>65</v>
      </c>
      <c r="AC32" s="257" t="s">
        <v>42</v>
      </c>
      <c r="AD32" s="256" t="s">
        <v>147</v>
      </c>
    </row>
    <row r="33" spans="1:43" s="256" customFormat="1">
      <c r="A33" s="359">
        <f>$B$15</f>
        <v>184100</v>
      </c>
      <c r="B33" s="360">
        <f>VLOOKUP($B$14,'Cuotas GNP p1 11 y 12'!$B$7:$E$35,3,FALSE)</f>
        <v>5.3775000000000004</v>
      </c>
      <c r="C33" s="46">
        <f>ROUND(A33*B34/100,2)</f>
        <v>9899.98</v>
      </c>
      <c r="D33" s="359">
        <f>VLOOKUP($B$14,'Cuotas GNP p1 11 y 12'!$B$7:$E$35,4,FALSE)</f>
        <v>2036.97</v>
      </c>
      <c r="E33" s="359">
        <f>C33+D33</f>
        <v>11936.949999999999</v>
      </c>
      <c r="F33" s="256" t="s">
        <v>60</v>
      </c>
      <c r="G33" s="256">
        <f>IF($B$12/3&lt;=3,"",$B$12/3)</f>
        <v>4</v>
      </c>
      <c r="H33" s="256">
        <f>INT(G33)</f>
        <v>4</v>
      </c>
      <c r="I33" s="256">
        <f>IF(H33-G33=0,H33*3,(H33+1)*3)</f>
        <v>12</v>
      </c>
      <c r="J33" s="256">
        <f>I33/3</f>
        <v>4</v>
      </c>
      <c r="K33" s="256">
        <f>VLOOKUP(I33,'FACTOR LP GNP p1 11 y 12'!$A$11:$B$70,2,FALSE)</f>
        <v>1</v>
      </c>
      <c r="L33" s="46">
        <f>ROUND(E33*K33,2)</f>
        <v>11936.95</v>
      </c>
      <c r="M33" s="46">
        <f>L33*$F$14</f>
        <v>3402.0307499999999</v>
      </c>
      <c r="N33" s="46">
        <f>$F$13</f>
        <v>450</v>
      </c>
      <c r="O33" s="46">
        <f>L33+N33</f>
        <v>12386.95</v>
      </c>
      <c r="P33" s="361">
        <f>VLOOKUP(J33,'RECARGO P FRACC GNP p1 11 y 12'!$B$15:$F$74,4,FALSE)</f>
        <v>1.4E-2</v>
      </c>
      <c r="Q33" s="362">
        <f>O33*P33</f>
        <v>173.41730000000001</v>
      </c>
      <c r="R33" s="362">
        <f>Q33*$F$15</f>
        <v>0</v>
      </c>
      <c r="S33" s="46">
        <f>O33+Q33</f>
        <v>12560.3673</v>
      </c>
      <c r="T33" s="46">
        <f>S33*0.16</f>
        <v>2009.658768</v>
      </c>
      <c r="U33" s="46">
        <f>S33+T33</f>
        <v>14570.026067999999</v>
      </c>
      <c r="Y33" s="257" t="s">
        <v>105</v>
      </c>
      <c r="Z33" s="258"/>
      <c r="AA33" s="255" t="s">
        <v>65</v>
      </c>
      <c r="AC33" s="257" t="s">
        <v>105</v>
      </c>
      <c r="AD33" s="255" t="s">
        <v>65</v>
      </c>
    </row>
    <row r="34" spans="1:43" s="256" customFormat="1">
      <c r="A34" s="359">
        <f>$B$15</f>
        <v>184100</v>
      </c>
      <c r="B34" s="360">
        <f>VLOOKUP($B$14,'Cuotas GNP p1 11 y 12'!$B$7:$E$35,3,FALSE)</f>
        <v>5.3775000000000004</v>
      </c>
      <c r="C34" s="46">
        <f>ROUND(A34*B34/100,2)</f>
        <v>9899.98</v>
      </c>
      <c r="D34" s="359">
        <f>VLOOKUP($B$14,'Cuotas GNP p1 11 y 12'!$B$7:$E$35,4,FALSE)</f>
        <v>2036.97</v>
      </c>
      <c r="E34" s="359">
        <f>C34+D34</f>
        <v>11936.949999999999</v>
      </c>
      <c r="F34" s="256" t="s">
        <v>61</v>
      </c>
      <c r="G34" s="256">
        <f>IF($B$12/1&lt;12,"",$B$12/1)</f>
        <v>12</v>
      </c>
      <c r="H34" s="256">
        <f>INT(G34)</f>
        <v>12</v>
      </c>
      <c r="I34" s="256">
        <f>H34*1</f>
        <v>12</v>
      </c>
      <c r="J34" s="256">
        <f>I34/1</f>
        <v>12</v>
      </c>
      <c r="K34" s="256">
        <f>VLOOKUP(I34,'FACTOR LP GNP p1 11 y 12'!$A$11:$B$70,2,FALSE)</f>
        <v>1</v>
      </c>
      <c r="L34" s="46">
        <f>ROUND(E34*K34,2)</f>
        <v>11936.95</v>
      </c>
      <c r="M34" s="46">
        <f>L34*$F$14</f>
        <v>3402.0307499999999</v>
      </c>
      <c r="N34" s="46">
        <f>$F$13</f>
        <v>450</v>
      </c>
      <c r="O34" s="46">
        <f>L34+N34</f>
        <v>12386.95</v>
      </c>
      <c r="P34" s="361">
        <f>VLOOKUP(J34,'RECARGO P FRACC GNP p1 11 y 12'!$B$15:$F$74,5,FALSE)</f>
        <v>2.1000000000000001E-2</v>
      </c>
      <c r="Q34" s="362">
        <f>O34*P34</f>
        <v>260.12595000000005</v>
      </c>
      <c r="R34" s="362">
        <f>Q34*$F$15</f>
        <v>0</v>
      </c>
      <c r="S34" s="46">
        <f>O34+Q34</f>
        <v>12647.07595</v>
      </c>
      <c r="T34" s="46">
        <f>S34*0.16</f>
        <v>2023.532152</v>
      </c>
      <c r="U34" s="46">
        <f>S34+T34</f>
        <v>14670.608102</v>
      </c>
      <c r="Y34" s="259" t="s">
        <v>150</v>
      </c>
      <c r="Z34" s="258"/>
      <c r="AA34" s="256" t="s">
        <v>147</v>
      </c>
      <c r="AC34" s="259" t="s">
        <v>150</v>
      </c>
      <c r="AD34" s="256" t="s">
        <v>147</v>
      </c>
    </row>
    <row r="35" spans="1:43" s="256" customFormat="1">
      <c r="A35" s="359"/>
      <c r="B35" s="360"/>
      <c r="C35" s="46"/>
      <c r="D35" s="359"/>
      <c r="E35" s="359"/>
      <c r="L35" s="46"/>
      <c r="M35" s="46"/>
      <c r="N35" s="46"/>
      <c r="O35" s="46"/>
      <c r="P35" s="361"/>
      <c r="Q35" s="362"/>
      <c r="R35" s="362"/>
      <c r="S35" s="46"/>
      <c r="T35" s="46"/>
      <c r="U35" s="46"/>
      <c r="Y35" s="259" t="s">
        <v>50</v>
      </c>
      <c r="Z35" s="255"/>
      <c r="AA35" s="256" t="s">
        <v>147</v>
      </c>
      <c r="AC35" s="259" t="s">
        <v>50</v>
      </c>
      <c r="AD35" s="256" t="s">
        <v>147</v>
      </c>
    </row>
    <row r="36" spans="1:43" s="255" customFormat="1">
      <c r="Y36" s="255" t="s">
        <v>46</v>
      </c>
      <c r="AA36" s="255" t="s">
        <v>147</v>
      </c>
      <c r="AC36" s="255" t="s">
        <v>46</v>
      </c>
      <c r="AD36" s="256" t="s">
        <v>147</v>
      </c>
    </row>
    <row r="37" spans="1:43" s="255" customFormat="1">
      <c r="Y37" s="259" t="s">
        <v>52</v>
      </c>
      <c r="AA37" s="256" t="s">
        <v>147</v>
      </c>
      <c r="AC37" s="259" t="s">
        <v>52</v>
      </c>
      <c r="AD37" s="256" t="s">
        <v>147</v>
      </c>
    </row>
    <row r="38" spans="1:43" s="255" customFormat="1">
      <c r="Y38" s="259" t="s">
        <v>149</v>
      </c>
      <c r="AA38" s="256" t="s">
        <v>147</v>
      </c>
      <c r="AC38" s="259" t="s">
        <v>149</v>
      </c>
      <c r="AD38" s="256" t="s">
        <v>147</v>
      </c>
    </row>
    <row r="39" spans="1:43">
      <c r="G39" s="247"/>
      <c r="H39" s="247"/>
      <c r="I39" s="247"/>
      <c r="J39" s="247"/>
      <c r="K39" s="247"/>
      <c r="L39" s="247"/>
      <c r="M39" s="247"/>
      <c r="N39" s="247"/>
      <c r="O39" s="247"/>
      <c r="P39" s="247"/>
      <c r="Q39" s="247"/>
      <c r="R39" s="247"/>
      <c r="S39" s="247"/>
      <c r="T39" s="247"/>
      <c r="U39" s="247"/>
      <c r="V39" s="247"/>
      <c r="W39" s="247"/>
      <c r="X39" s="255"/>
      <c r="Y39" s="259" t="s">
        <v>141</v>
      </c>
      <c r="Z39" s="255"/>
      <c r="AA39" s="256" t="s">
        <v>147</v>
      </c>
      <c r="AB39" s="255"/>
      <c r="AC39" s="259" t="s">
        <v>141</v>
      </c>
      <c r="AD39" s="256" t="s">
        <v>147</v>
      </c>
      <c r="AE39" s="255"/>
      <c r="AF39" s="255"/>
      <c r="AG39" s="255"/>
      <c r="AH39" s="255"/>
      <c r="AI39" s="255"/>
      <c r="AJ39" s="255"/>
      <c r="AK39" s="255"/>
      <c r="AL39" s="255"/>
      <c r="AM39" s="255"/>
      <c r="AN39" s="255"/>
      <c r="AO39" s="255"/>
      <c r="AP39" s="247"/>
      <c r="AQ39" s="247"/>
    </row>
    <row r="40" spans="1:43">
      <c r="G40" s="247"/>
      <c r="H40" s="247"/>
      <c r="I40" s="247"/>
      <c r="J40" s="247"/>
      <c r="K40" s="247"/>
      <c r="L40" s="247"/>
      <c r="M40" s="247"/>
      <c r="N40" s="247"/>
      <c r="O40" s="247"/>
      <c r="P40" s="247"/>
      <c r="Q40" s="247"/>
      <c r="R40" s="247"/>
      <c r="S40" s="247"/>
      <c r="T40" s="247"/>
      <c r="U40" s="247"/>
      <c r="V40" s="247"/>
      <c r="W40" s="247"/>
      <c r="X40" s="255"/>
      <c r="Y40" s="259" t="s">
        <v>54</v>
      </c>
      <c r="Z40" s="255"/>
      <c r="AA40" s="256" t="s">
        <v>147</v>
      </c>
      <c r="AB40" s="255"/>
      <c r="AC40" s="259" t="s">
        <v>54</v>
      </c>
      <c r="AD40" s="256" t="s">
        <v>147</v>
      </c>
      <c r="AE40" s="255"/>
      <c r="AF40" s="255"/>
      <c r="AG40" s="255"/>
      <c r="AH40" s="255"/>
      <c r="AI40" s="255"/>
      <c r="AJ40" s="255"/>
      <c r="AK40" s="255"/>
      <c r="AL40" s="255"/>
      <c r="AM40" s="255"/>
      <c r="AN40" s="255"/>
      <c r="AO40" s="255"/>
      <c r="AP40" s="247"/>
      <c r="AQ40" s="247"/>
    </row>
    <row r="41" spans="1:43">
      <c r="G41" s="247"/>
      <c r="H41" s="247"/>
      <c r="I41" s="247"/>
      <c r="J41" s="247"/>
      <c r="K41" s="247"/>
      <c r="L41" s="247"/>
      <c r="M41" s="247"/>
      <c r="N41" s="247"/>
      <c r="O41" s="247"/>
      <c r="P41" s="247"/>
      <c r="Q41" s="247"/>
      <c r="R41" s="247"/>
      <c r="S41" s="247"/>
      <c r="T41" s="247"/>
      <c r="U41" s="247"/>
      <c r="V41" s="247"/>
      <c r="W41" s="247"/>
      <c r="X41" s="255"/>
      <c r="Y41" s="259" t="s">
        <v>44</v>
      </c>
      <c r="Z41" s="258"/>
      <c r="AA41" s="256" t="s">
        <v>147</v>
      </c>
      <c r="AB41" s="255"/>
      <c r="AC41" s="259" t="s">
        <v>44</v>
      </c>
      <c r="AD41" s="256" t="s">
        <v>147</v>
      </c>
      <c r="AE41" s="255"/>
      <c r="AF41" s="255"/>
      <c r="AG41" s="255"/>
      <c r="AH41" s="255"/>
      <c r="AI41" s="255"/>
      <c r="AJ41" s="255"/>
      <c r="AK41" s="255"/>
      <c r="AL41" s="255"/>
      <c r="AM41" s="255"/>
      <c r="AN41" s="255"/>
      <c r="AO41" s="255"/>
      <c r="AP41" s="247"/>
      <c r="AQ41" s="247"/>
    </row>
    <row r="42" spans="1:43">
      <c r="G42" s="247"/>
      <c r="H42" s="247"/>
      <c r="I42" s="247"/>
      <c r="J42" s="247"/>
      <c r="K42" s="247"/>
      <c r="L42" s="247"/>
      <c r="M42" s="247"/>
      <c r="N42" s="247"/>
      <c r="O42" s="247"/>
      <c r="P42" s="247"/>
      <c r="Q42" s="247"/>
      <c r="R42" s="247"/>
      <c r="S42" s="247"/>
      <c r="T42" s="247"/>
      <c r="U42" s="247"/>
      <c r="V42" s="247"/>
      <c r="W42" s="247"/>
      <c r="X42" s="255"/>
      <c r="Y42" s="257" t="s">
        <v>106</v>
      </c>
      <c r="Z42" s="258"/>
      <c r="AA42" s="255" t="s">
        <v>65</v>
      </c>
      <c r="AB42" s="255"/>
      <c r="AC42" s="257" t="s">
        <v>106</v>
      </c>
      <c r="AD42" s="256" t="s">
        <v>147</v>
      </c>
      <c r="AE42" s="255"/>
      <c r="AF42" s="255"/>
      <c r="AG42" s="255"/>
      <c r="AH42" s="255"/>
      <c r="AI42" s="255"/>
      <c r="AJ42" s="255"/>
      <c r="AK42" s="255"/>
      <c r="AL42" s="255"/>
      <c r="AM42" s="255"/>
      <c r="AN42" s="255"/>
      <c r="AO42" s="255"/>
      <c r="AP42" s="247"/>
      <c r="AQ42" s="247"/>
    </row>
    <row r="43" spans="1:43">
      <c r="Y43" s="253" t="s">
        <v>148</v>
      </c>
      <c r="Z43" s="254"/>
      <c r="AA43" s="252" t="s">
        <v>147</v>
      </c>
      <c r="AC43" s="253" t="s">
        <v>148</v>
      </c>
      <c r="AD43" s="252" t="s">
        <v>147</v>
      </c>
    </row>
    <row r="44" spans="1:43">
      <c r="Y44" s="250" t="s">
        <v>111</v>
      </c>
      <c r="AA44" s="250" t="s">
        <v>147</v>
      </c>
      <c r="AC44" s="250" t="s">
        <v>111</v>
      </c>
      <c r="AD44" s="250" t="s">
        <v>147</v>
      </c>
    </row>
    <row r="45" spans="1:43">
      <c r="Y45" s="250" t="s">
        <v>112</v>
      </c>
      <c r="Z45" s="250" t="s">
        <v>147</v>
      </c>
      <c r="AC45" s="250" t="s">
        <v>112</v>
      </c>
      <c r="AD45" s="250" t="s">
        <v>147</v>
      </c>
    </row>
  </sheetData>
  <sheetProtection password="F4F5" sheet="1" objects="1" scenarios="1" selectLockedCells="1" selectUnlockedCells="1"/>
  <mergeCells count="4">
    <mergeCell ref="A11:B11"/>
    <mergeCell ref="G29:H29"/>
    <mergeCell ref="A3:F3"/>
    <mergeCell ref="A7:B7"/>
  </mergeCells>
  <dataValidations count="1">
    <dataValidation type="list" allowBlank="1" showInputMessage="1" showErrorMessage="1" sqref="B13">
      <formula1>$X$13:$X$14</formula1>
    </dataValidation>
  </dataValidations>
  <printOptions horizontalCentered="1"/>
  <pageMargins left="0.39370078740157483" right="0.39370078740157483" top="0.98425196850393704" bottom="0.98425196850393704" header="0" footer="0"/>
  <pageSetup scale="84" orientation="portrait" r:id="rId1"/>
  <headerFooter alignWithMargins="0">
    <oddFooter>&amp;C&amp;F&amp;R&amp;D&amp;T</oddFooter>
  </headerFooter>
</worksheet>
</file>

<file path=xl/worksheets/sheet11.xml><?xml version="1.0" encoding="utf-8"?>
<worksheet xmlns="http://schemas.openxmlformats.org/spreadsheetml/2006/main" xmlns:r="http://schemas.openxmlformats.org/officeDocument/2006/relationships">
  <sheetPr codeName="Hoja10">
    <pageSetUpPr fitToPage="1"/>
  </sheetPr>
  <dimension ref="A1:K127"/>
  <sheetViews>
    <sheetView topLeftCell="I4" workbookViewId="0">
      <selection activeCell="H4" sqref="A1:H65536"/>
    </sheetView>
  </sheetViews>
  <sheetFormatPr baseColWidth="10" defaultColWidth="9.33203125" defaultRowHeight="13.5"/>
  <cols>
    <col min="1" max="1" width="12.6640625" style="285" hidden="1" customWidth="1"/>
    <col min="2" max="2" width="26.6640625" style="285" hidden="1" customWidth="1"/>
    <col min="3" max="3" width="1.33203125" style="287" hidden="1" customWidth="1"/>
    <col min="4" max="4" width="10.1640625" style="286" hidden="1" customWidth="1"/>
    <col min="5" max="5" width="19.6640625" style="286" hidden="1" customWidth="1"/>
    <col min="6" max="6" width="12" style="285" hidden="1" customWidth="1"/>
    <col min="7" max="7" width="19.83203125" style="285" hidden="1" customWidth="1"/>
    <col min="8" max="8" width="27.1640625" style="285" hidden="1" customWidth="1"/>
    <col min="9" max="9" width="10.1640625" style="285" bestFit="1" customWidth="1"/>
    <col min="10" max="10" width="14.83203125" style="285" customWidth="1"/>
    <col min="11" max="16384" width="9.33203125" style="285"/>
  </cols>
  <sheetData>
    <row r="1" spans="1:11">
      <c r="A1" s="305"/>
      <c r="D1" s="304"/>
      <c r="E1" s="304"/>
      <c r="G1" s="285" t="s">
        <v>128</v>
      </c>
    </row>
    <row r="2" spans="1:11" s="288" customFormat="1" ht="22.5" customHeight="1">
      <c r="A2" s="303"/>
      <c r="B2" s="303"/>
      <c r="C2" s="287"/>
      <c r="D2" s="303"/>
      <c r="E2" s="303"/>
    </row>
    <row r="3" spans="1:11" s="288" customFormat="1">
      <c r="C3" s="287"/>
      <c r="D3" s="300"/>
      <c r="E3" s="300"/>
    </row>
    <row r="4" spans="1:11" s="288" customFormat="1" ht="27">
      <c r="A4" s="302" t="s">
        <v>189</v>
      </c>
      <c r="B4" s="288" t="s">
        <v>188</v>
      </c>
      <c r="C4" s="287"/>
      <c r="D4" s="1003" t="s">
        <v>90</v>
      </c>
      <c r="E4" s="1003"/>
    </row>
    <row r="5" spans="1:11" s="288" customFormat="1">
      <c r="C5" s="287"/>
      <c r="D5" s="301" t="s">
        <v>85</v>
      </c>
      <c r="E5" s="301" t="s">
        <v>138</v>
      </c>
    </row>
    <row r="6" spans="1:11" s="288" customFormat="1">
      <c r="C6" s="287"/>
      <c r="D6" s="300"/>
      <c r="E6" s="300"/>
    </row>
    <row r="7" spans="1:11" s="288" customFormat="1">
      <c r="A7" s="288" t="s">
        <v>187</v>
      </c>
      <c r="B7" s="297" t="s">
        <v>13</v>
      </c>
      <c r="C7" s="287"/>
      <c r="D7" s="393">
        <v>4.4375999999999998</v>
      </c>
      <c r="E7" s="392">
        <v>1176.76</v>
      </c>
      <c r="G7" s="297"/>
      <c r="H7" s="287"/>
      <c r="I7" s="393"/>
      <c r="J7" s="392"/>
      <c r="K7" s="294"/>
    </row>
    <row r="8" spans="1:11" s="288" customFormat="1">
      <c r="A8" s="288" t="s">
        <v>186</v>
      </c>
      <c r="B8" s="297" t="s">
        <v>129</v>
      </c>
      <c r="C8" s="287"/>
      <c r="D8" s="393">
        <v>3.9514</v>
      </c>
      <c r="E8" s="392">
        <v>1176.76</v>
      </c>
      <c r="G8" s="297"/>
      <c r="H8" s="287"/>
      <c r="I8" s="393"/>
      <c r="J8" s="392"/>
      <c r="K8" s="294"/>
    </row>
    <row r="9" spans="1:11" s="288" customFormat="1">
      <c r="A9" s="288" t="s">
        <v>185</v>
      </c>
      <c r="B9" s="297" t="s">
        <v>20</v>
      </c>
      <c r="C9" s="287"/>
      <c r="D9" s="393">
        <v>4.5452000000000004</v>
      </c>
      <c r="E9" s="392">
        <v>1176.76</v>
      </c>
      <c r="G9" s="297"/>
      <c r="H9" s="287"/>
      <c r="I9" s="393"/>
      <c r="J9" s="392"/>
      <c r="K9" s="294"/>
    </row>
    <row r="10" spans="1:11" s="288" customFormat="1">
      <c r="A10" s="288" t="s">
        <v>184</v>
      </c>
      <c r="B10" s="297" t="s">
        <v>15</v>
      </c>
      <c r="C10" s="287"/>
      <c r="D10" s="393">
        <v>3.4439000000000002</v>
      </c>
      <c r="E10" s="392">
        <v>1176.76</v>
      </c>
      <c r="G10" s="297"/>
      <c r="H10" s="287"/>
      <c r="I10" s="393"/>
      <c r="J10" s="392"/>
      <c r="K10" s="294"/>
    </row>
    <row r="11" spans="1:11" s="288" customFormat="1">
      <c r="A11" s="288" t="s">
        <v>183</v>
      </c>
      <c r="B11" s="297" t="s">
        <v>104</v>
      </c>
      <c r="C11" s="287"/>
      <c r="D11" s="393">
        <v>2.6191</v>
      </c>
      <c r="E11" s="392">
        <v>1176.76</v>
      </c>
      <c r="G11" s="297"/>
      <c r="H11" s="287"/>
      <c r="I11" s="393"/>
      <c r="J11" s="392"/>
      <c r="K11" s="294"/>
    </row>
    <row r="12" spans="1:11" s="288" customFormat="1">
      <c r="A12" s="288" t="s">
        <v>182</v>
      </c>
      <c r="B12" s="297" t="s">
        <v>17</v>
      </c>
      <c r="C12" s="287"/>
      <c r="D12" s="393">
        <v>2.903</v>
      </c>
      <c r="E12" s="392">
        <v>1176.76</v>
      </c>
      <c r="G12" s="297"/>
      <c r="H12" s="287"/>
      <c r="I12" s="393"/>
      <c r="J12" s="392"/>
      <c r="K12" s="294"/>
    </row>
    <row r="13" spans="1:11" s="288" customFormat="1">
      <c r="A13" s="288" t="s">
        <v>181</v>
      </c>
      <c r="B13" s="297" t="s">
        <v>155</v>
      </c>
      <c r="C13" s="299"/>
      <c r="D13" s="393">
        <v>6.6585000000000001</v>
      </c>
      <c r="E13" s="392">
        <v>1176.76</v>
      </c>
      <c r="G13" s="297"/>
      <c r="H13" s="299"/>
      <c r="I13" s="393"/>
      <c r="J13" s="392"/>
      <c r="K13" s="294"/>
    </row>
    <row r="14" spans="1:11" s="288" customFormat="1">
      <c r="A14" s="288" t="s">
        <v>180</v>
      </c>
      <c r="B14" s="297" t="s">
        <v>1</v>
      </c>
      <c r="C14" s="299"/>
      <c r="D14" s="393">
        <v>2.8001999999999998</v>
      </c>
      <c r="E14" s="392">
        <v>1176.76</v>
      </c>
      <c r="G14" s="297"/>
      <c r="H14" s="299"/>
      <c r="I14" s="393"/>
      <c r="J14" s="392"/>
      <c r="K14" s="294"/>
    </row>
    <row r="15" spans="1:11" s="288" customFormat="1">
      <c r="A15" s="288" t="s">
        <v>174</v>
      </c>
      <c r="B15" s="297" t="s">
        <v>11</v>
      </c>
      <c r="C15" s="299"/>
      <c r="D15" s="393">
        <v>2.7759999999999998</v>
      </c>
      <c r="E15" s="392">
        <v>1176.76</v>
      </c>
      <c r="G15" s="297"/>
      <c r="H15" s="299"/>
      <c r="I15" s="393"/>
      <c r="J15" s="392"/>
      <c r="K15" s="294"/>
    </row>
    <row r="16" spans="1:11" s="288" customFormat="1">
      <c r="A16" s="288" t="s">
        <v>179</v>
      </c>
      <c r="B16" s="297" t="s">
        <v>152</v>
      </c>
      <c r="C16" s="299"/>
      <c r="D16" s="393">
        <v>3.5036</v>
      </c>
      <c r="E16" s="392">
        <v>1176.76</v>
      </c>
      <c r="G16" s="297"/>
      <c r="H16" s="299"/>
      <c r="I16" s="393"/>
      <c r="J16" s="392"/>
      <c r="K16" s="294"/>
    </row>
    <row r="17" spans="1:11" s="288" customFormat="1">
      <c r="A17" s="288" t="s">
        <v>172</v>
      </c>
      <c r="B17" s="297" t="s">
        <v>7</v>
      </c>
      <c r="C17" s="299"/>
      <c r="D17" s="393">
        <v>5.5380000000000003</v>
      </c>
      <c r="E17" s="392">
        <v>1176.76</v>
      </c>
      <c r="G17" s="297"/>
      <c r="H17" s="299"/>
      <c r="I17" s="393"/>
      <c r="J17" s="392"/>
      <c r="K17" s="294"/>
    </row>
    <row r="18" spans="1:11" s="288" customFormat="1">
      <c r="A18" s="288" t="s">
        <v>178</v>
      </c>
      <c r="B18" s="297" t="s">
        <v>154</v>
      </c>
      <c r="C18" s="299"/>
      <c r="D18" s="393">
        <v>5.4455</v>
      </c>
      <c r="E18" s="392">
        <v>1176.76</v>
      </c>
      <c r="G18" s="297"/>
      <c r="H18" s="299"/>
      <c r="I18" s="393"/>
      <c r="J18" s="392"/>
      <c r="K18" s="294"/>
    </row>
    <row r="19" spans="1:11" s="288" customFormat="1">
      <c r="A19" s="288" t="s">
        <v>177</v>
      </c>
      <c r="B19" s="297" t="s">
        <v>151</v>
      </c>
      <c r="C19" s="299"/>
      <c r="D19" s="393">
        <v>5.8780999999999999</v>
      </c>
      <c r="E19" s="392">
        <v>1176.76</v>
      </c>
      <c r="G19" s="297"/>
      <c r="H19" s="299"/>
      <c r="I19" s="393"/>
      <c r="J19" s="392"/>
      <c r="K19" s="294"/>
    </row>
    <row r="20" spans="1:11" s="288" customFormat="1">
      <c r="A20" s="288" t="s">
        <v>176</v>
      </c>
      <c r="B20" s="297" t="s">
        <v>42</v>
      </c>
      <c r="C20" s="299"/>
      <c r="D20" s="393">
        <v>5.2249999999999996</v>
      </c>
      <c r="E20" s="392">
        <v>2036.97</v>
      </c>
      <c r="G20" s="297"/>
      <c r="H20" s="299"/>
      <c r="I20" s="393"/>
      <c r="J20" s="392"/>
      <c r="K20" s="294"/>
    </row>
    <row r="21" spans="1:11" s="288" customFormat="1">
      <c r="A21" s="288" t="s">
        <v>175</v>
      </c>
      <c r="B21" s="297" t="s">
        <v>105</v>
      </c>
      <c r="C21" s="299"/>
      <c r="D21" s="393">
        <v>3.1850000000000001</v>
      </c>
      <c r="E21" s="392">
        <v>1176.76</v>
      </c>
      <c r="G21" s="297"/>
      <c r="H21" s="299"/>
      <c r="I21" s="393"/>
      <c r="J21" s="392"/>
      <c r="K21" s="294"/>
    </row>
    <row r="22" spans="1:11" s="288" customFormat="1">
      <c r="B22" s="297"/>
      <c r="C22" s="287"/>
      <c r="D22" s="393">
        <v>0</v>
      </c>
      <c r="E22" s="392">
        <v>0</v>
      </c>
      <c r="G22" s="297"/>
      <c r="H22" s="287"/>
      <c r="I22" s="393"/>
      <c r="J22" s="392"/>
      <c r="K22" s="294"/>
    </row>
    <row r="23" spans="1:11" s="288" customFormat="1">
      <c r="A23" s="288" t="s">
        <v>174</v>
      </c>
      <c r="B23" s="297" t="s">
        <v>44</v>
      </c>
      <c r="C23" s="287"/>
      <c r="D23" s="393">
        <v>5.0339999999999998</v>
      </c>
      <c r="E23" s="392">
        <v>2036.97</v>
      </c>
      <c r="G23" s="297"/>
      <c r="H23" s="287"/>
      <c r="I23" s="393"/>
      <c r="J23" s="392"/>
      <c r="K23" s="294"/>
    </row>
    <row r="24" spans="1:11" s="288" customFormat="1">
      <c r="B24" s="297" t="s">
        <v>55</v>
      </c>
      <c r="C24" s="287"/>
      <c r="D24" s="393">
        <v>5.3773</v>
      </c>
      <c r="E24" s="392">
        <v>2036.97</v>
      </c>
      <c r="G24" s="297"/>
      <c r="H24" s="287"/>
      <c r="I24" s="393"/>
      <c r="J24" s="392"/>
      <c r="K24" s="294"/>
    </row>
    <row r="25" spans="1:11" s="288" customFormat="1">
      <c r="A25" s="288" t="s">
        <v>173</v>
      </c>
      <c r="B25" s="297" t="s">
        <v>150</v>
      </c>
      <c r="C25" s="287"/>
      <c r="D25" s="393">
        <v>6.1231999999999998</v>
      </c>
      <c r="E25" s="392">
        <v>2036.97</v>
      </c>
      <c r="G25" s="297"/>
      <c r="H25" s="287"/>
      <c r="I25" s="393"/>
      <c r="J25" s="392"/>
      <c r="K25" s="294"/>
    </row>
    <row r="26" spans="1:11" s="288" customFormat="1">
      <c r="A26" s="288" t="s">
        <v>172</v>
      </c>
      <c r="B26" s="297" t="s">
        <v>50</v>
      </c>
      <c r="C26" s="287"/>
      <c r="D26" s="393">
        <v>5.2065000000000001</v>
      </c>
      <c r="E26" s="392">
        <v>2036.97</v>
      </c>
      <c r="G26" s="297"/>
      <c r="H26" s="287"/>
      <c r="I26" s="393"/>
      <c r="J26" s="392"/>
      <c r="K26" s="294"/>
    </row>
    <row r="27" spans="1:11" s="288" customFormat="1">
      <c r="A27" s="288" t="s">
        <v>171</v>
      </c>
      <c r="B27" s="288" t="s">
        <v>46</v>
      </c>
      <c r="D27" s="393">
        <v>5.3775000000000004</v>
      </c>
      <c r="E27" s="392">
        <v>2036.97</v>
      </c>
      <c r="I27" s="393"/>
      <c r="J27" s="392"/>
      <c r="K27" s="294"/>
    </row>
    <row r="28" spans="1:11" s="288" customFormat="1">
      <c r="A28" s="288" t="s">
        <v>170</v>
      </c>
      <c r="B28" s="297" t="s">
        <v>52</v>
      </c>
      <c r="C28" s="287"/>
      <c r="D28" s="393">
        <v>5.5368000000000004</v>
      </c>
      <c r="E28" s="392">
        <v>2036.78</v>
      </c>
      <c r="G28" s="297"/>
      <c r="H28" s="287"/>
      <c r="I28" s="393"/>
      <c r="J28" s="392"/>
      <c r="K28" s="294"/>
    </row>
    <row r="29" spans="1:11" s="288" customFormat="1">
      <c r="B29" s="297" t="s">
        <v>149</v>
      </c>
      <c r="C29" s="287"/>
      <c r="D29" s="393">
        <v>4.4687000000000001</v>
      </c>
      <c r="E29" s="392">
        <v>4119.08</v>
      </c>
      <c r="G29" s="297"/>
      <c r="H29" s="287"/>
      <c r="I29" s="393"/>
      <c r="J29" s="392"/>
      <c r="K29" s="294"/>
    </row>
    <row r="30" spans="1:11" s="288" customFormat="1">
      <c r="B30" s="297" t="s">
        <v>141</v>
      </c>
      <c r="C30" s="287"/>
      <c r="D30" s="393">
        <v>4.0838000000000001</v>
      </c>
      <c r="E30" s="392">
        <v>4119.08</v>
      </c>
      <c r="G30" s="297"/>
      <c r="H30" s="287"/>
      <c r="I30" s="393"/>
      <c r="J30" s="392"/>
      <c r="K30" s="294"/>
    </row>
    <row r="31" spans="1:11" s="288" customFormat="1">
      <c r="A31" s="288" t="s">
        <v>169</v>
      </c>
      <c r="B31" s="297" t="s">
        <v>112</v>
      </c>
      <c r="C31" s="287"/>
      <c r="D31" s="393">
        <v>5.7851999999999997</v>
      </c>
      <c r="E31" s="392">
        <v>1176.76</v>
      </c>
      <c r="G31" s="297"/>
      <c r="H31" s="287"/>
      <c r="I31" s="393"/>
      <c r="J31" s="392"/>
      <c r="K31" s="294"/>
    </row>
    <row r="32" spans="1:11" s="288" customFormat="1">
      <c r="A32" s="288" t="s">
        <v>168</v>
      </c>
      <c r="B32" s="297" t="s">
        <v>111</v>
      </c>
      <c r="C32" s="287"/>
      <c r="D32" s="393">
        <v>5.8160999999999996</v>
      </c>
      <c r="E32" s="392">
        <v>2036.97</v>
      </c>
      <c r="G32" s="297"/>
      <c r="H32" s="287"/>
      <c r="I32" s="393"/>
      <c r="J32" s="392"/>
      <c r="K32" s="294"/>
    </row>
    <row r="33" spans="1:11" s="288" customFormat="1">
      <c r="A33" s="288" t="s">
        <v>167</v>
      </c>
      <c r="B33" s="297" t="s">
        <v>55</v>
      </c>
      <c r="C33" s="287"/>
      <c r="D33" s="393">
        <v>5.3773</v>
      </c>
      <c r="E33" s="392">
        <v>2036.97</v>
      </c>
      <c r="G33" s="297"/>
      <c r="H33" s="287"/>
      <c r="I33" s="393"/>
      <c r="J33" s="392"/>
      <c r="K33" s="294"/>
    </row>
    <row r="34" spans="1:11" s="288" customFormat="1">
      <c r="A34" s="288" t="s">
        <v>166</v>
      </c>
      <c r="B34" s="288" t="s">
        <v>107</v>
      </c>
      <c r="C34" s="287"/>
      <c r="D34" s="393">
        <v>13.2662</v>
      </c>
      <c r="E34" s="392">
        <v>2036.97</v>
      </c>
      <c r="H34" s="287"/>
      <c r="I34" s="393"/>
      <c r="J34" s="392"/>
      <c r="K34" s="294"/>
    </row>
    <row r="35" spans="1:11" s="288" customFormat="1">
      <c r="C35" s="287"/>
      <c r="D35" s="293"/>
      <c r="E35" s="292"/>
    </row>
    <row r="36" spans="1:11" s="288" customFormat="1">
      <c r="C36" s="287"/>
      <c r="D36" s="289"/>
      <c r="E36" s="289"/>
    </row>
    <row r="37" spans="1:11" s="288" customFormat="1">
      <c r="C37" s="287"/>
      <c r="D37" s="289"/>
      <c r="E37" s="289"/>
    </row>
    <row r="38" spans="1:11" s="288" customFormat="1">
      <c r="C38" s="287"/>
      <c r="D38" s="289"/>
      <c r="E38" s="289"/>
    </row>
    <row r="39" spans="1:11" s="288" customFormat="1">
      <c r="C39" s="287"/>
      <c r="D39" s="289"/>
      <c r="E39" s="289"/>
    </row>
    <row r="40" spans="1:11" s="288" customFormat="1">
      <c r="C40" s="287"/>
      <c r="D40" s="289"/>
      <c r="E40" s="289"/>
    </row>
    <row r="41" spans="1:11" s="288" customFormat="1">
      <c r="C41" s="287"/>
      <c r="D41" s="289"/>
      <c r="E41" s="289"/>
    </row>
    <row r="42" spans="1:11" s="288" customFormat="1">
      <c r="C42" s="287"/>
      <c r="D42" s="289"/>
      <c r="E42" s="289"/>
    </row>
    <row r="43" spans="1:11" s="288" customFormat="1">
      <c r="C43" s="287"/>
      <c r="D43" s="289"/>
      <c r="E43" s="289"/>
    </row>
    <row r="44" spans="1:11" s="288" customFormat="1">
      <c r="C44" s="287"/>
      <c r="D44" s="289"/>
      <c r="E44" s="289"/>
    </row>
    <row r="45" spans="1:11" s="288" customFormat="1">
      <c r="C45" s="287"/>
      <c r="D45" s="289"/>
      <c r="E45" s="289"/>
    </row>
    <row r="46" spans="1:11" s="288" customFormat="1">
      <c r="C46" s="287"/>
      <c r="D46" s="289"/>
      <c r="E46" s="289"/>
    </row>
    <row r="47" spans="1:11" s="288" customFormat="1">
      <c r="C47" s="287"/>
      <c r="D47" s="289"/>
      <c r="E47" s="289"/>
    </row>
    <row r="48" spans="1:11" s="288" customFormat="1">
      <c r="C48" s="287"/>
      <c r="D48" s="289"/>
      <c r="E48" s="289"/>
    </row>
    <row r="49" spans="3:10" s="288" customFormat="1">
      <c r="C49" s="287"/>
      <c r="D49" s="289"/>
      <c r="E49" s="289"/>
    </row>
    <row r="50" spans="3:10" s="288" customFormat="1">
      <c r="C50" s="287"/>
      <c r="D50" s="289"/>
      <c r="E50" s="289"/>
    </row>
    <row r="51" spans="3:10" s="288" customFormat="1">
      <c r="C51" s="287"/>
      <c r="D51" s="289"/>
      <c r="E51" s="289"/>
    </row>
    <row r="52" spans="3:10" s="288" customFormat="1">
      <c r="C52" s="287"/>
      <c r="D52" s="289"/>
      <c r="E52" s="289"/>
    </row>
    <row r="53" spans="3:10" s="288" customFormat="1">
      <c r="C53" s="287"/>
      <c r="D53" s="289"/>
      <c r="E53" s="289"/>
    </row>
    <row r="54" spans="3:10" s="288" customFormat="1">
      <c r="C54" s="287"/>
      <c r="D54" s="289"/>
      <c r="E54" s="289"/>
    </row>
    <row r="55" spans="3:10" s="288" customFormat="1">
      <c r="C55" s="287"/>
      <c r="D55" s="289"/>
      <c r="E55" s="289"/>
    </row>
    <row r="56" spans="3:10" s="288" customFormat="1">
      <c r="C56" s="287"/>
      <c r="D56" s="289"/>
      <c r="E56" s="289"/>
    </row>
    <row r="57" spans="3:10" s="288" customFormat="1">
      <c r="C57" s="287"/>
      <c r="D57" s="289"/>
      <c r="E57" s="289"/>
    </row>
    <row r="58" spans="3:10" s="288" customFormat="1">
      <c r="C58" s="287"/>
      <c r="D58" s="289"/>
      <c r="E58" s="289"/>
    </row>
    <row r="59" spans="3:10" s="288" customFormat="1">
      <c r="C59" s="287"/>
      <c r="D59" s="289"/>
      <c r="E59" s="289"/>
    </row>
    <row r="60" spans="3:10" s="288" customFormat="1">
      <c r="C60" s="287"/>
      <c r="D60" s="289"/>
      <c r="E60" s="289"/>
    </row>
    <row r="61" spans="3:10" s="288" customFormat="1">
      <c r="C61" s="287"/>
      <c r="D61" s="289"/>
      <c r="E61" s="289"/>
    </row>
    <row r="62" spans="3:10" s="288" customFormat="1">
      <c r="C62" s="287"/>
      <c r="D62" s="289"/>
      <c r="E62" s="289"/>
    </row>
    <row r="63" spans="3:10" s="288" customFormat="1">
      <c r="C63" s="287"/>
      <c r="D63" s="289"/>
      <c r="E63" s="289"/>
      <c r="H63" s="291"/>
      <c r="J63" s="290"/>
    </row>
    <row r="64" spans="3:10" s="288" customFormat="1">
      <c r="C64" s="287"/>
      <c r="D64" s="289"/>
      <c r="E64" s="289"/>
    </row>
    <row r="65" spans="3:5" s="288" customFormat="1">
      <c r="C65" s="287"/>
      <c r="D65" s="289"/>
      <c r="E65" s="289"/>
    </row>
    <row r="66" spans="3:5" s="288" customFormat="1">
      <c r="C66" s="287"/>
      <c r="D66" s="289"/>
      <c r="E66" s="289"/>
    </row>
    <row r="67" spans="3:5" s="288" customFormat="1">
      <c r="C67" s="287"/>
      <c r="D67" s="289"/>
      <c r="E67" s="289"/>
    </row>
    <row r="68" spans="3:5" s="288" customFormat="1">
      <c r="C68" s="287"/>
      <c r="D68" s="289"/>
      <c r="E68" s="289"/>
    </row>
    <row r="69" spans="3:5" s="288" customFormat="1">
      <c r="C69" s="287"/>
      <c r="D69" s="289"/>
      <c r="E69" s="289"/>
    </row>
    <row r="70" spans="3:5" s="288" customFormat="1">
      <c r="C70" s="287"/>
      <c r="D70" s="289"/>
      <c r="E70" s="289"/>
    </row>
    <row r="71" spans="3:5" s="288" customFormat="1">
      <c r="C71" s="287"/>
      <c r="D71" s="289"/>
      <c r="E71" s="289"/>
    </row>
    <row r="72" spans="3:5" s="288" customFormat="1">
      <c r="C72" s="287"/>
      <c r="D72" s="289"/>
      <c r="E72" s="289"/>
    </row>
    <row r="73" spans="3:5" s="288" customFormat="1">
      <c r="C73" s="287"/>
      <c r="D73" s="289"/>
      <c r="E73" s="289"/>
    </row>
    <row r="74" spans="3:5" s="288" customFormat="1">
      <c r="C74" s="287"/>
      <c r="D74" s="289"/>
      <c r="E74" s="289"/>
    </row>
    <row r="75" spans="3:5" s="288" customFormat="1">
      <c r="C75" s="287"/>
      <c r="D75" s="289"/>
      <c r="E75" s="289"/>
    </row>
    <row r="76" spans="3:5" s="288" customFormat="1">
      <c r="C76" s="287"/>
      <c r="D76" s="289"/>
      <c r="E76" s="289"/>
    </row>
    <row r="77" spans="3:5" s="288" customFormat="1">
      <c r="C77" s="287"/>
      <c r="D77" s="289"/>
      <c r="E77" s="289"/>
    </row>
    <row r="78" spans="3:5" s="288" customFormat="1">
      <c r="C78" s="287"/>
      <c r="D78" s="289"/>
      <c r="E78" s="289"/>
    </row>
    <row r="79" spans="3:5" s="288" customFormat="1">
      <c r="C79" s="287"/>
      <c r="D79" s="289"/>
      <c r="E79" s="289"/>
    </row>
    <row r="80" spans="3:5" s="288" customFormat="1">
      <c r="C80" s="287"/>
      <c r="D80" s="289"/>
      <c r="E80" s="289"/>
    </row>
    <row r="81" spans="3:5" s="288" customFormat="1">
      <c r="C81" s="287"/>
      <c r="D81" s="289"/>
      <c r="E81" s="289"/>
    </row>
    <row r="82" spans="3:5" s="288" customFormat="1">
      <c r="C82" s="287"/>
      <c r="D82" s="289"/>
      <c r="E82" s="289"/>
    </row>
    <row r="83" spans="3:5" s="288" customFormat="1">
      <c r="C83" s="287"/>
      <c r="D83" s="289"/>
      <c r="E83" s="289"/>
    </row>
    <row r="84" spans="3:5" s="288" customFormat="1">
      <c r="C84" s="287"/>
      <c r="D84" s="289"/>
      <c r="E84" s="289"/>
    </row>
    <row r="85" spans="3:5" s="288" customFormat="1">
      <c r="C85" s="287"/>
      <c r="D85" s="289"/>
      <c r="E85" s="289"/>
    </row>
    <row r="86" spans="3:5" s="288" customFormat="1">
      <c r="C86" s="287"/>
      <c r="D86" s="289"/>
      <c r="E86" s="289"/>
    </row>
    <row r="87" spans="3:5" s="288" customFormat="1">
      <c r="C87" s="287"/>
      <c r="D87" s="289"/>
      <c r="E87" s="289"/>
    </row>
    <row r="88" spans="3:5" s="288" customFormat="1">
      <c r="C88" s="287"/>
      <c r="D88" s="289"/>
      <c r="E88" s="289"/>
    </row>
    <row r="89" spans="3:5" s="288" customFormat="1">
      <c r="C89" s="287"/>
      <c r="D89" s="289"/>
      <c r="E89" s="289"/>
    </row>
    <row r="90" spans="3:5" s="288" customFormat="1">
      <c r="C90" s="287"/>
      <c r="D90" s="289"/>
      <c r="E90" s="289"/>
    </row>
    <row r="91" spans="3:5" s="288" customFormat="1">
      <c r="C91" s="287"/>
      <c r="D91" s="289"/>
      <c r="E91" s="289"/>
    </row>
    <row r="92" spans="3:5" s="288" customFormat="1">
      <c r="C92" s="287"/>
      <c r="D92" s="289"/>
      <c r="E92" s="289"/>
    </row>
    <row r="93" spans="3:5" s="288" customFormat="1">
      <c r="C93" s="287"/>
      <c r="D93" s="289"/>
      <c r="E93" s="289"/>
    </row>
    <row r="94" spans="3:5" s="288" customFormat="1">
      <c r="C94" s="287"/>
      <c r="D94" s="289"/>
      <c r="E94" s="289"/>
    </row>
    <row r="95" spans="3:5" s="288" customFormat="1">
      <c r="C95" s="287"/>
      <c r="D95" s="289"/>
      <c r="E95" s="289"/>
    </row>
    <row r="96" spans="3:5" s="288" customFormat="1">
      <c r="C96" s="287"/>
      <c r="D96" s="289"/>
      <c r="E96" s="289"/>
    </row>
    <row r="97" spans="3:5" s="288" customFormat="1">
      <c r="C97" s="287"/>
      <c r="D97" s="289"/>
      <c r="E97" s="289"/>
    </row>
    <row r="98" spans="3:5" s="288" customFormat="1">
      <c r="C98" s="287"/>
      <c r="D98" s="289"/>
      <c r="E98" s="289"/>
    </row>
    <row r="99" spans="3:5" s="288" customFormat="1">
      <c r="C99" s="287"/>
      <c r="D99" s="289"/>
      <c r="E99" s="289"/>
    </row>
    <row r="100" spans="3:5" s="288" customFormat="1">
      <c r="C100" s="287"/>
      <c r="D100" s="289"/>
      <c r="E100" s="289"/>
    </row>
    <row r="101" spans="3:5" s="288" customFormat="1">
      <c r="C101" s="287"/>
      <c r="D101" s="289"/>
      <c r="E101" s="289"/>
    </row>
    <row r="102" spans="3:5" s="288" customFormat="1">
      <c r="C102" s="287"/>
      <c r="D102" s="289"/>
      <c r="E102" s="289"/>
    </row>
    <row r="103" spans="3:5" s="288" customFormat="1">
      <c r="C103" s="287"/>
      <c r="D103" s="289"/>
      <c r="E103" s="289"/>
    </row>
    <row r="104" spans="3:5" s="288" customFormat="1">
      <c r="C104" s="287"/>
      <c r="D104" s="289"/>
      <c r="E104" s="289"/>
    </row>
    <row r="105" spans="3:5" s="288" customFormat="1">
      <c r="C105" s="287"/>
      <c r="D105" s="289"/>
      <c r="E105" s="289"/>
    </row>
    <row r="106" spans="3:5" s="288" customFormat="1">
      <c r="C106" s="287"/>
      <c r="D106" s="289"/>
      <c r="E106" s="289"/>
    </row>
    <row r="107" spans="3:5" s="288" customFormat="1">
      <c r="C107" s="287"/>
      <c r="D107" s="289"/>
      <c r="E107" s="289"/>
    </row>
    <row r="108" spans="3:5" s="288" customFormat="1">
      <c r="C108" s="287"/>
      <c r="D108" s="289"/>
      <c r="E108" s="289"/>
    </row>
    <row r="109" spans="3:5" s="288" customFormat="1">
      <c r="C109" s="287"/>
      <c r="D109" s="289"/>
      <c r="E109" s="289"/>
    </row>
    <row r="110" spans="3:5" s="288" customFormat="1">
      <c r="C110" s="287"/>
      <c r="D110" s="289"/>
      <c r="E110" s="289"/>
    </row>
    <row r="111" spans="3:5" s="288" customFormat="1">
      <c r="C111" s="287"/>
      <c r="D111" s="289"/>
      <c r="E111" s="289"/>
    </row>
    <row r="112" spans="3:5" s="288" customFormat="1">
      <c r="C112" s="287"/>
      <c r="D112" s="289"/>
      <c r="E112" s="289"/>
    </row>
    <row r="113" spans="3:5" s="288" customFormat="1">
      <c r="C113" s="287"/>
      <c r="D113" s="289"/>
      <c r="E113" s="289"/>
    </row>
    <row r="114" spans="3:5" s="288" customFormat="1">
      <c r="C114" s="287"/>
      <c r="D114" s="289"/>
      <c r="E114" s="289"/>
    </row>
    <row r="115" spans="3:5" s="288" customFormat="1">
      <c r="C115" s="287"/>
      <c r="D115" s="289"/>
      <c r="E115" s="289"/>
    </row>
    <row r="116" spans="3:5" s="288" customFormat="1">
      <c r="C116" s="287"/>
      <c r="D116" s="289"/>
      <c r="E116" s="289"/>
    </row>
    <row r="117" spans="3:5" s="288" customFormat="1">
      <c r="C117" s="287"/>
      <c r="D117" s="289"/>
      <c r="E117" s="289"/>
    </row>
    <row r="118" spans="3:5" s="288" customFormat="1">
      <c r="C118" s="287"/>
      <c r="D118" s="289"/>
      <c r="E118" s="289"/>
    </row>
    <row r="119" spans="3:5" s="288" customFormat="1">
      <c r="C119" s="287"/>
      <c r="D119" s="289"/>
      <c r="E119" s="289"/>
    </row>
    <row r="120" spans="3:5" s="288" customFormat="1">
      <c r="C120" s="287"/>
      <c r="D120" s="289"/>
      <c r="E120" s="289"/>
    </row>
    <row r="121" spans="3:5" s="288" customFormat="1">
      <c r="C121" s="287"/>
      <c r="D121" s="289"/>
      <c r="E121" s="289"/>
    </row>
    <row r="122" spans="3:5" s="288" customFormat="1">
      <c r="C122" s="287"/>
      <c r="D122" s="289"/>
      <c r="E122" s="289"/>
    </row>
    <row r="123" spans="3:5" s="288" customFormat="1">
      <c r="C123" s="287"/>
      <c r="D123" s="289"/>
      <c r="E123" s="289"/>
    </row>
    <row r="124" spans="3:5" s="288" customFormat="1">
      <c r="C124" s="287"/>
      <c r="D124" s="289"/>
      <c r="E124" s="289"/>
    </row>
    <row r="125" spans="3:5" s="288" customFormat="1">
      <c r="C125" s="287"/>
      <c r="D125" s="289"/>
      <c r="E125" s="289"/>
    </row>
    <row r="126" spans="3:5" s="288" customFormat="1">
      <c r="C126" s="287"/>
      <c r="D126" s="289"/>
      <c r="E126" s="289"/>
    </row>
    <row r="127" spans="3:5" s="288" customFormat="1">
      <c r="C127" s="287"/>
      <c r="D127" s="289"/>
      <c r="E127" s="289"/>
    </row>
  </sheetData>
  <sheetProtection password="F4F5" sheet="1" objects="1" scenarios="1" selectLockedCells="1" selectUnlockedCells="1"/>
  <mergeCells count="1">
    <mergeCell ref="D4:E4"/>
  </mergeCells>
  <printOptions horizontalCentered="1" verticalCentered="1"/>
  <pageMargins left="0.75" right="0.75" top="1" bottom="1" header="0" footer="0"/>
  <pageSetup orientation="landscape" r:id="rId1"/>
  <headerFooter alignWithMargins="0"/>
</worksheet>
</file>

<file path=xl/worksheets/sheet12.xml><?xml version="1.0" encoding="utf-8"?>
<worksheet xmlns="http://schemas.openxmlformats.org/spreadsheetml/2006/main" xmlns:r="http://schemas.openxmlformats.org/officeDocument/2006/relationships">
  <sheetPr codeName="Hoja11">
    <pageSetUpPr fitToPage="1"/>
  </sheetPr>
  <dimension ref="A2:N70"/>
  <sheetViews>
    <sheetView topLeftCell="O1" workbookViewId="0">
      <selection activeCell="N1" sqref="A1:N65536"/>
    </sheetView>
  </sheetViews>
  <sheetFormatPr baseColWidth="10" defaultColWidth="9.33203125" defaultRowHeight="12.75"/>
  <cols>
    <col min="1" max="2" width="12" style="306" hidden="1" customWidth="1"/>
    <col min="3" max="3" width="7.6640625" style="306" hidden="1" customWidth="1"/>
    <col min="4" max="14" width="9.33203125" style="306" hidden="1" customWidth="1"/>
    <col min="15" max="16384" width="9.33203125" style="306"/>
  </cols>
  <sheetData>
    <row r="2" spans="1:6" ht="18">
      <c r="A2" s="321" t="s">
        <v>25</v>
      </c>
      <c r="B2" s="320"/>
      <c r="D2" s="316"/>
    </row>
    <row r="3" spans="1:6" ht="18">
      <c r="A3" s="321" t="s">
        <v>26</v>
      </c>
      <c r="B3" s="320"/>
      <c r="D3" s="316"/>
    </row>
    <row r="4" spans="1:6" ht="13.5" thickBot="1">
      <c r="A4" s="319"/>
      <c r="B4" s="318"/>
      <c r="C4" s="317"/>
      <c r="D4" s="317"/>
    </row>
    <row r="5" spans="1:6" ht="13.5" thickTop="1">
      <c r="A5" s="316"/>
      <c r="B5" s="316"/>
      <c r="C5" s="316"/>
    </row>
    <row r="8" spans="1:6">
      <c r="A8" s="315" t="s">
        <v>27</v>
      </c>
      <c r="B8" s="315" t="s">
        <v>28</v>
      </c>
    </row>
    <row r="9" spans="1:6">
      <c r="A9" s="314" t="s">
        <v>29</v>
      </c>
      <c r="B9" s="314" t="s">
        <v>27</v>
      </c>
    </row>
    <row r="10" spans="1:6">
      <c r="A10" s="313"/>
      <c r="B10" s="313"/>
    </row>
    <row r="11" spans="1:6">
      <c r="A11" s="312">
        <v>1</v>
      </c>
      <c r="B11" s="310">
        <v>8.3299999999999999E-2</v>
      </c>
      <c r="C11" s="309"/>
      <c r="D11" s="306">
        <v>1</v>
      </c>
      <c r="E11" s="308">
        <v>12</v>
      </c>
      <c r="F11" s="390">
        <f>D11/E11</f>
        <v>8.3333333333333329E-2</v>
      </c>
    </row>
    <row r="12" spans="1:6">
      <c r="A12" s="312">
        <v>2</v>
      </c>
      <c r="B12" s="310">
        <v>0.16669999999999999</v>
      </c>
      <c r="C12" s="309"/>
      <c r="D12" s="306">
        <v>2</v>
      </c>
      <c r="E12" s="308">
        <v>12</v>
      </c>
      <c r="F12" s="390">
        <f t="shared" ref="F12:F22" si="0">D12/E12</f>
        <v>0.16666666666666666</v>
      </c>
    </row>
    <row r="13" spans="1:6">
      <c r="A13" s="312">
        <v>3</v>
      </c>
      <c r="B13" s="310">
        <v>0.25</v>
      </c>
      <c r="C13" s="309"/>
      <c r="D13" s="306">
        <v>3</v>
      </c>
      <c r="E13" s="308">
        <v>12</v>
      </c>
      <c r="F13" s="390">
        <f t="shared" si="0"/>
        <v>0.25</v>
      </c>
    </row>
    <row r="14" spans="1:6">
      <c r="A14" s="312">
        <v>4</v>
      </c>
      <c r="B14" s="310">
        <v>0.33329999999999999</v>
      </c>
      <c r="C14" s="309"/>
      <c r="D14" s="306">
        <v>4</v>
      </c>
      <c r="E14" s="308">
        <v>12</v>
      </c>
      <c r="F14" s="390">
        <f t="shared" si="0"/>
        <v>0.33333333333333331</v>
      </c>
    </row>
    <row r="15" spans="1:6">
      <c r="A15" s="312">
        <v>5</v>
      </c>
      <c r="B15" s="310">
        <v>0.41670000000000001</v>
      </c>
      <c r="C15" s="309"/>
      <c r="D15" s="306">
        <v>5</v>
      </c>
      <c r="E15" s="308">
        <v>12</v>
      </c>
      <c r="F15" s="390">
        <f t="shared" si="0"/>
        <v>0.41666666666666669</v>
      </c>
    </row>
    <row r="16" spans="1:6">
      <c r="A16" s="312">
        <v>6</v>
      </c>
      <c r="B16" s="310">
        <v>0.5</v>
      </c>
      <c r="C16" s="309"/>
      <c r="D16" s="306">
        <v>6</v>
      </c>
      <c r="E16" s="308">
        <v>12</v>
      </c>
      <c r="F16" s="390">
        <f t="shared" si="0"/>
        <v>0.5</v>
      </c>
    </row>
    <row r="17" spans="1:6">
      <c r="A17" s="312">
        <v>7</v>
      </c>
      <c r="B17" s="310">
        <v>0.58330000000000004</v>
      </c>
      <c r="C17" s="309"/>
      <c r="D17" s="306">
        <v>7</v>
      </c>
      <c r="E17" s="308">
        <v>12</v>
      </c>
      <c r="F17" s="390">
        <f t="shared" si="0"/>
        <v>0.58333333333333337</v>
      </c>
    </row>
    <row r="18" spans="1:6">
      <c r="A18" s="312">
        <v>8</v>
      </c>
      <c r="B18" s="310">
        <v>0.66669999999999996</v>
      </c>
      <c r="C18" s="309"/>
      <c r="D18" s="306">
        <v>8</v>
      </c>
      <c r="E18" s="308">
        <v>12</v>
      </c>
      <c r="F18" s="390">
        <f t="shared" si="0"/>
        <v>0.66666666666666663</v>
      </c>
    </row>
    <row r="19" spans="1:6">
      <c r="A19" s="312">
        <v>9</v>
      </c>
      <c r="B19" s="310">
        <v>0.75</v>
      </c>
      <c r="C19" s="309"/>
      <c r="D19" s="306">
        <v>9</v>
      </c>
      <c r="E19" s="308">
        <v>12</v>
      </c>
      <c r="F19" s="390">
        <f t="shared" si="0"/>
        <v>0.75</v>
      </c>
    </row>
    <row r="20" spans="1:6">
      <c r="A20" s="312">
        <v>10</v>
      </c>
      <c r="B20" s="310">
        <v>0.83330000000000004</v>
      </c>
      <c r="C20" s="309"/>
      <c r="D20" s="306">
        <v>10</v>
      </c>
      <c r="E20" s="308">
        <v>12</v>
      </c>
      <c r="F20" s="390">
        <f t="shared" si="0"/>
        <v>0.83333333333333337</v>
      </c>
    </row>
    <row r="21" spans="1:6">
      <c r="A21" s="312">
        <v>11</v>
      </c>
      <c r="B21" s="310">
        <v>0.91669999999999996</v>
      </c>
      <c r="C21" s="309"/>
      <c r="D21" s="306">
        <v>11</v>
      </c>
      <c r="E21" s="308">
        <v>12</v>
      </c>
      <c r="F21" s="390">
        <f t="shared" si="0"/>
        <v>0.91666666666666663</v>
      </c>
    </row>
    <row r="22" spans="1:6">
      <c r="A22" s="311">
        <v>12</v>
      </c>
      <c r="B22" s="310">
        <v>1</v>
      </c>
      <c r="C22" s="309"/>
      <c r="D22" s="306">
        <v>12</v>
      </c>
      <c r="E22" s="308">
        <v>12</v>
      </c>
      <c r="F22" s="390">
        <f t="shared" si="0"/>
        <v>1</v>
      </c>
    </row>
    <row r="23" spans="1:6">
      <c r="A23" s="312">
        <v>13</v>
      </c>
      <c r="B23" s="310">
        <v>1.0832999999999999</v>
      </c>
      <c r="C23" s="309"/>
      <c r="E23" s="308"/>
      <c r="F23" s="307"/>
    </row>
    <row r="24" spans="1:6">
      <c r="A24" s="312">
        <v>14</v>
      </c>
      <c r="B24" s="310">
        <v>1.1667000000000001</v>
      </c>
      <c r="C24" s="309"/>
      <c r="E24" s="308"/>
      <c r="F24" s="307"/>
    </row>
    <row r="25" spans="1:6">
      <c r="A25" s="312">
        <v>15</v>
      </c>
      <c r="B25" s="310">
        <v>1.25</v>
      </c>
      <c r="C25" s="309"/>
      <c r="E25" s="308"/>
      <c r="F25" s="307"/>
    </row>
    <row r="26" spans="1:6">
      <c r="A26" s="312">
        <v>16</v>
      </c>
      <c r="B26" s="310">
        <v>1.3332999999999999</v>
      </c>
      <c r="C26" s="309"/>
      <c r="E26" s="308"/>
      <c r="F26" s="307"/>
    </row>
    <row r="27" spans="1:6">
      <c r="A27" s="312">
        <v>17</v>
      </c>
      <c r="B27" s="310">
        <v>1.4167000000000001</v>
      </c>
      <c r="C27" s="309"/>
      <c r="E27" s="308"/>
      <c r="F27" s="307"/>
    </row>
    <row r="28" spans="1:6">
      <c r="A28" s="312">
        <v>18</v>
      </c>
      <c r="B28" s="310">
        <v>1.5</v>
      </c>
      <c r="C28" s="309"/>
      <c r="E28" s="308"/>
      <c r="F28" s="307"/>
    </row>
    <row r="29" spans="1:6">
      <c r="A29" s="312">
        <v>19</v>
      </c>
      <c r="B29" s="310">
        <v>1.5832999999999999</v>
      </c>
      <c r="C29" s="309"/>
      <c r="E29" s="308"/>
      <c r="F29" s="307"/>
    </row>
    <row r="30" spans="1:6">
      <c r="A30" s="312">
        <v>20</v>
      </c>
      <c r="B30" s="310">
        <v>1.6667000000000001</v>
      </c>
      <c r="C30" s="309"/>
      <c r="E30" s="308"/>
      <c r="F30" s="307"/>
    </row>
    <row r="31" spans="1:6">
      <c r="A31" s="312">
        <v>21</v>
      </c>
      <c r="B31" s="310">
        <v>1.75</v>
      </c>
      <c r="C31" s="309"/>
      <c r="E31" s="308"/>
      <c r="F31" s="307"/>
    </row>
    <row r="32" spans="1:6">
      <c r="A32" s="312">
        <v>22</v>
      </c>
      <c r="B32" s="310">
        <v>1.8332999999999999</v>
      </c>
      <c r="C32" s="309"/>
      <c r="E32" s="308"/>
      <c r="F32" s="307"/>
    </row>
    <row r="33" spans="1:6">
      <c r="A33" s="312">
        <v>23</v>
      </c>
      <c r="B33" s="310">
        <v>1.9167000000000001</v>
      </c>
      <c r="C33" s="309"/>
      <c r="E33" s="308"/>
      <c r="F33" s="307"/>
    </row>
    <row r="34" spans="1:6">
      <c r="A34" s="311">
        <v>24</v>
      </c>
      <c r="B34" s="310">
        <v>2</v>
      </c>
      <c r="C34" s="309"/>
      <c r="E34" s="308"/>
      <c r="F34" s="307"/>
    </row>
    <row r="35" spans="1:6">
      <c r="A35" s="312">
        <v>25</v>
      </c>
      <c r="B35" s="310">
        <v>2.0832999999999999</v>
      </c>
      <c r="C35" s="309"/>
      <c r="E35" s="308"/>
      <c r="F35" s="307"/>
    </row>
    <row r="36" spans="1:6">
      <c r="A36" s="312">
        <v>26</v>
      </c>
      <c r="B36" s="310">
        <v>2.1667000000000001</v>
      </c>
      <c r="C36" s="309"/>
      <c r="E36" s="308"/>
      <c r="F36" s="307"/>
    </row>
    <row r="37" spans="1:6">
      <c r="A37" s="312">
        <v>27</v>
      </c>
      <c r="B37" s="310">
        <v>2.25</v>
      </c>
      <c r="C37" s="309"/>
      <c r="E37" s="308"/>
      <c r="F37" s="307"/>
    </row>
    <row r="38" spans="1:6">
      <c r="A38" s="312">
        <v>28</v>
      </c>
      <c r="B38" s="310">
        <v>2.3332999999999999</v>
      </c>
      <c r="C38" s="309"/>
      <c r="E38" s="308"/>
      <c r="F38" s="307"/>
    </row>
    <row r="39" spans="1:6">
      <c r="A39" s="312">
        <v>29</v>
      </c>
      <c r="B39" s="310">
        <v>2.4167000000000001</v>
      </c>
      <c r="C39" s="309"/>
      <c r="E39" s="308"/>
      <c r="F39" s="307"/>
    </row>
    <row r="40" spans="1:6">
      <c r="A40" s="312">
        <v>30</v>
      </c>
      <c r="B40" s="310">
        <v>2.5</v>
      </c>
      <c r="C40" s="309"/>
      <c r="E40" s="308"/>
      <c r="F40" s="307"/>
    </row>
    <row r="41" spans="1:6">
      <c r="A41" s="312">
        <v>31</v>
      </c>
      <c r="B41" s="310">
        <v>2.5832999999999999</v>
      </c>
      <c r="C41" s="309"/>
      <c r="E41" s="308"/>
      <c r="F41" s="307"/>
    </row>
    <row r="42" spans="1:6">
      <c r="A42" s="312">
        <v>32</v>
      </c>
      <c r="B42" s="310">
        <v>2.6667000000000001</v>
      </c>
      <c r="C42" s="309"/>
      <c r="E42" s="308"/>
      <c r="F42" s="307"/>
    </row>
    <row r="43" spans="1:6">
      <c r="A43" s="312">
        <v>33</v>
      </c>
      <c r="B43" s="310">
        <v>2.75</v>
      </c>
      <c r="C43" s="309"/>
      <c r="E43" s="308"/>
      <c r="F43" s="307"/>
    </row>
    <row r="44" spans="1:6">
      <c r="A44" s="312">
        <v>34</v>
      </c>
      <c r="B44" s="310">
        <v>2.8332999999999999</v>
      </c>
      <c r="C44" s="309"/>
      <c r="E44" s="308"/>
      <c r="F44" s="307"/>
    </row>
    <row r="45" spans="1:6">
      <c r="A45" s="312">
        <v>35</v>
      </c>
      <c r="B45" s="310">
        <v>2.9167000000000001</v>
      </c>
      <c r="C45" s="309"/>
      <c r="E45" s="308"/>
      <c r="F45" s="307"/>
    </row>
    <row r="46" spans="1:6">
      <c r="A46" s="311">
        <v>36</v>
      </c>
      <c r="B46" s="310">
        <v>3</v>
      </c>
      <c r="C46" s="309"/>
      <c r="E46" s="308"/>
      <c r="F46" s="307"/>
    </row>
    <row r="47" spans="1:6">
      <c r="A47" s="312">
        <v>37</v>
      </c>
      <c r="B47" s="310">
        <v>3.0832999999999999</v>
      </c>
      <c r="C47" s="309"/>
      <c r="E47" s="308"/>
      <c r="F47" s="307"/>
    </row>
    <row r="48" spans="1:6">
      <c r="A48" s="312">
        <v>38</v>
      </c>
      <c r="B48" s="310">
        <v>3.1667000000000001</v>
      </c>
      <c r="C48" s="309"/>
      <c r="E48" s="308"/>
      <c r="F48" s="307"/>
    </row>
    <row r="49" spans="1:6">
      <c r="A49" s="312">
        <v>39</v>
      </c>
      <c r="B49" s="310">
        <v>3.25</v>
      </c>
      <c r="C49" s="309"/>
      <c r="E49" s="308"/>
      <c r="F49" s="307"/>
    </row>
    <row r="50" spans="1:6">
      <c r="A50" s="312">
        <v>40</v>
      </c>
      <c r="B50" s="310">
        <v>3.3332999999999999</v>
      </c>
      <c r="C50" s="309"/>
      <c r="E50" s="308"/>
      <c r="F50" s="307"/>
    </row>
    <row r="51" spans="1:6">
      <c r="A51" s="312">
        <v>41</v>
      </c>
      <c r="B51" s="310">
        <v>3.4167000000000001</v>
      </c>
      <c r="C51" s="309"/>
      <c r="E51" s="308"/>
      <c r="F51" s="307"/>
    </row>
    <row r="52" spans="1:6">
      <c r="A52" s="312">
        <v>42</v>
      </c>
      <c r="B52" s="310">
        <v>3.5</v>
      </c>
      <c r="C52" s="309"/>
      <c r="E52" s="308"/>
      <c r="F52" s="307"/>
    </row>
    <row r="53" spans="1:6">
      <c r="A53" s="312">
        <v>43</v>
      </c>
      <c r="B53" s="310">
        <v>3.5832999999999999</v>
      </c>
      <c r="C53" s="309"/>
      <c r="E53" s="308"/>
      <c r="F53" s="307"/>
    </row>
    <row r="54" spans="1:6">
      <c r="A54" s="312">
        <v>44</v>
      </c>
      <c r="B54" s="310">
        <v>3.6667000000000001</v>
      </c>
      <c r="C54" s="309"/>
      <c r="E54" s="308"/>
      <c r="F54" s="307"/>
    </row>
    <row r="55" spans="1:6">
      <c r="A55" s="312">
        <v>45</v>
      </c>
      <c r="B55" s="310">
        <v>3.75</v>
      </c>
      <c r="C55" s="309"/>
      <c r="E55" s="308"/>
      <c r="F55" s="307"/>
    </row>
    <row r="56" spans="1:6">
      <c r="A56" s="312">
        <v>46</v>
      </c>
      <c r="B56" s="310">
        <v>3.8332999999999999</v>
      </c>
      <c r="C56" s="309"/>
      <c r="E56" s="308"/>
      <c r="F56" s="307"/>
    </row>
    <row r="57" spans="1:6">
      <c r="A57" s="312">
        <v>47</v>
      </c>
      <c r="B57" s="310">
        <v>3.9167000000000001</v>
      </c>
      <c r="C57" s="309"/>
      <c r="E57" s="308"/>
      <c r="F57" s="307"/>
    </row>
    <row r="58" spans="1:6">
      <c r="A58" s="311">
        <v>48</v>
      </c>
      <c r="B58" s="310">
        <v>4</v>
      </c>
      <c r="C58" s="309"/>
      <c r="E58" s="308"/>
      <c r="F58" s="307"/>
    </row>
    <row r="59" spans="1:6">
      <c r="A59" s="312">
        <v>49</v>
      </c>
      <c r="B59" s="310">
        <v>4.0833000000000004</v>
      </c>
      <c r="C59" s="309"/>
      <c r="E59" s="308"/>
      <c r="F59" s="307"/>
    </row>
    <row r="60" spans="1:6">
      <c r="A60" s="312">
        <v>50</v>
      </c>
      <c r="B60" s="310">
        <v>4.1666999999999996</v>
      </c>
      <c r="C60" s="309"/>
      <c r="E60" s="308"/>
      <c r="F60" s="307"/>
    </row>
    <row r="61" spans="1:6">
      <c r="A61" s="312">
        <v>51</v>
      </c>
      <c r="B61" s="310">
        <v>4.25</v>
      </c>
      <c r="C61" s="309"/>
      <c r="E61" s="308"/>
      <c r="F61" s="307"/>
    </row>
    <row r="62" spans="1:6">
      <c r="A62" s="312">
        <v>52</v>
      </c>
      <c r="B62" s="310">
        <v>4.3333000000000004</v>
      </c>
      <c r="C62" s="309"/>
      <c r="E62" s="308"/>
      <c r="F62" s="307"/>
    </row>
    <row r="63" spans="1:6">
      <c r="A63" s="312">
        <v>53</v>
      </c>
      <c r="B63" s="310">
        <v>4.4166999999999996</v>
      </c>
      <c r="C63" s="309"/>
      <c r="E63" s="308"/>
      <c r="F63" s="307"/>
    </row>
    <row r="64" spans="1:6">
      <c r="A64" s="312">
        <v>54</v>
      </c>
      <c r="B64" s="310">
        <v>4.5</v>
      </c>
      <c r="C64" s="309"/>
      <c r="E64" s="308"/>
      <c r="F64" s="307"/>
    </row>
    <row r="65" spans="1:6">
      <c r="A65" s="312">
        <v>55</v>
      </c>
      <c r="B65" s="310">
        <v>4.5833000000000004</v>
      </c>
      <c r="C65" s="309"/>
      <c r="E65" s="308"/>
      <c r="F65" s="307"/>
    </row>
    <row r="66" spans="1:6">
      <c r="A66" s="312">
        <v>56</v>
      </c>
      <c r="B66" s="310">
        <v>4.6666999999999996</v>
      </c>
      <c r="C66" s="309"/>
      <c r="E66" s="308"/>
      <c r="F66" s="307"/>
    </row>
    <row r="67" spans="1:6">
      <c r="A67" s="312">
        <v>57</v>
      </c>
      <c r="B67" s="310">
        <v>4.75</v>
      </c>
      <c r="C67" s="309"/>
      <c r="E67" s="308"/>
      <c r="F67" s="307"/>
    </row>
    <row r="68" spans="1:6">
      <c r="A68" s="312">
        <v>58</v>
      </c>
      <c r="B68" s="310">
        <v>4.8333000000000004</v>
      </c>
      <c r="C68" s="309"/>
      <c r="E68" s="308"/>
      <c r="F68" s="307"/>
    </row>
    <row r="69" spans="1:6">
      <c r="A69" s="312">
        <v>59</v>
      </c>
      <c r="B69" s="310">
        <v>4.9166999999999996</v>
      </c>
      <c r="C69" s="309"/>
      <c r="E69" s="308"/>
      <c r="F69" s="307"/>
    </row>
    <row r="70" spans="1:6">
      <c r="A70" s="311">
        <v>60</v>
      </c>
      <c r="B70" s="310">
        <v>5</v>
      </c>
      <c r="C70" s="309"/>
      <c r="E70" s="308"/>
      <c r="F70" s="307"/>
    </row>
  </sheetData>
  <sheetProtection password="F4F5" sheet="1" objects="1" scenarios="1" selectLockedCells="1" selectUnlockedCells="1"/>
  <printOptions horizontalCentered="1" verticalCentered="1"/>
  <pageMargins left="0.78740157480314965" right="0.78740157480314965" top="0.98425196850393704" bottom="0.98425196850393704" header="0" footer="0"/>
  <pageSetup scale="8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sheetPr codeName="Hoja12">
    <pageSetUpPr fitToPage="1"/>
  </sheetPr>
  <dimension ref="A4:N81"/>
  <sheetViews>
    <sheetView topLeftCell="O1" workbookViewId="0">
      <selection activeCell="N1" sqref="A1:N65536"/>
    </sheetView>
  </sheetViews>
  <sheetFormatPr baseColWidth="10" defaultColWidth="9.33203125" defaultRowHeight="12.75"/>
  <cols>
    <col min="1" max="1" width="15" style="306" hidden="1" customWidth="1"/>
    <col min="2" max="2" width="16.1640625" style="306" hidden="1" customWidth="1"/>
    <col min="3" max="4" width="12" style="306" hidden="1" customWidth="1"/>
    <col min="5" max="5" width="13" style="306" hidden="1" customWidth="1"/>
    <col min="6" max="6" width="12" style="306" hidden="1" customWidth="1"/>
    <col min="7" max="7" width="5.6640625" style="306" hidden="1" customWidth="1"/>
    <col min="8" max="14" width="9.33203125" style="306" hidden="1" customWidth="1"/>
    <col min="15" max="16384" width="9.33203125" style="306"/>
  </cols>
  <sheetData>
    <row r="4" spans="1:11" ht="23.25">
      <c r="B4" s="1004" t="s">
        <v>30</v>
      </c>
      <c r="C4" s="1004"/>
      <c r="D4" s="1004"/>
      <c r="E4" s="1004"/>
      <c r="F4" s="1004"/>
      <c r="G4" s="1004"/>
    </row>
    <row r="5" spans="1:11" ht="5.25" customHeight="1"/>
    <row r="6" spans="1:11" ht="15.75">
      <c r="B6" s="1005" t="s">
        <v>31</v>
      </c>
      <c r="C6" s="1005"/>
      <c r="D6" s="1005"/>
      <c r="E6" s="1005"/>
      <c r="F6" s="1005"/>
      <c r="G6" s="1005"/>
    </row>
    <row r="7" spans="1:11" s="328" customFormat="1" ht="3.75" customHeight="1"/>
    <row r="8" spans="1:11">
      <c r="A8" s="327"/>
    </row>
    <row r="9" spans="1:11" ht="6.75" customHeight="1"/>
    <row r="10" spans="1:11" ht="18">
      <c r="B10" s="171"/>
    </row>
    <row r="11" spans="1:11" ht="13.5" thickBot="1">
      <c r="C11" s="1009" t="s">
        <v>98</v>
      </c>
      <c r="D11" s="1009"/>
      <c r="E11" s="1009"/>
      <c r="F11" s="1009"/>
    </row>
    <row r="12" spans="1:11" ht="13.5" thickTop="1">
      <c r="A12" s="326" t="s">
        <v>34</v>
      </c>
      <c r="B12" s="169" t="s">
        <v>32</v>
      </c>
      <c r="C12" s="168" t="s">
        <v>33</v>
      </c>
      <c r="D12" s="168"/>
      <c r="E12" s="168"/>
      <c r="F12" s="167"/>
    </row>
    <row r="13" spans="1:11" ht="13.5" thickBot="1">
      <c r="A13" s="325"/>
      <c r="B13" s="165" t="s">
        <v>35</v>
      </c>
      <c r="C13" s="164" t="s">
        <v>36</v>
      </c>
      <c r="D13" s="164" t="s">
        <v>37</v>
      </c>
      <c r="E13" s="164" t="s">
        <v>38</v>
      </c>
      <c r="F13" s="163" t="s">
        <v>39</v>
      </c>
    </row>
    <row r="14" spans="1:11" ht="13.5" thickTop="1">
      <c r="C14" s="306">
        <v>360</v>
      </c>
      <c r="D14" s="306">
        <v>180</v>
      </c>
      <c r="E14" s="306">
        <v>90</v>
      </c>
      <c r="F14" s="306">
        <v>30</v>
      </c>
    </row>
    <row r="15" spans="1:11">
      <c r="A15" s="1006">
        <v>0.18</v>
      </c>
      <c r="B15" s="162">
        <v>1</v>
      </c>
      <c r="C15" s="324">
        <v>0</v>
      </c>
      <c r="D15" s="324">
        <v>0</v>
      </c>
      <c r="E15" s="324">
        <v>0</v>
      </c>
      <c r="F15" s="324">
        <v>0</v>
      </c>
    </row>
    <row r="16" spans="1:11">
      <c r="A16" s="1007"/>
      <c r="B16" s="162">
        <v>2</v>
      </c>
      <c r="C16" s="323">
        <v>0.01</v>
      </c>
      <c r="D16" s="323">
        <v>7.0000000000000001E-3</v>
      </c>
      <c r="E16" s="323">
        <v>5.0000000000000001E-3</v>
      </c>
      <c r="F16" s="323">
        <v>2E-3</v>
      </c>
      <c r="H16" s="323"/>
      <c r="I16" s="323"/>
      <c r="J16" s="323"/>
      <c r="K16" s="323"/>
    </row>
    <row r="17" spans="1:11">
      <c r="A17" s="1007"/>
      <c r="B17" s="162">
        <v>3</v>
      </c>
      <c r="C17" s="323">
        <v>0.02</v>
      </c>
      <c r="D17" s="323">
        <v>1.4E-2</v>
      </c>
      <c r="E17" s="323">
        <v>8.9999999999999993E-3</v>
      </c>
      <c r="F17" s="323">
        <v>4.0000000000000001E-3</v>
      </c>
      <c r="H17" s="323"/>
      <c r="I17" s="323"/>
      <c r="J17" s="323"/>
      <c r="K17" s="323"/>
    </row>
    <row r="18" spans="1:11">
      <c r="A18" s="1007"/>
      <c r="B18" s="162">
        <v>4</v>
      </c>
      <c r="C18" s="323">
        <v>0.03</v>
      </c>
      <c r="D18" s="323">
        <v>2.1000000000000001E-2</v>
      </c>
      <c r="E18" s="323">
        <v>1.4E-2</v>
      </c>
      <c r="F18" s="323">
        <v>6.0000000000000001E-3</v>
      </c>
      <c r="H18" s="323"/>
      <c r="I18" s="323"/>
      <c r="J18" s="323"/>
      <c r="K18" s="323"/>
    </row>
    <row r="19" spans="1:11">
      <c r="A19" s="1007"/>
      <c r="B19" s="162">
        <v>5</v>
      </c>
      <c r="C19" s="323">
        <v>0.04</v>
      </c>
      <c r="D19" s="323">
        <v>2.9000000000000001E-2</v>
      </c>
      <c r="E19" s="323">
        <v>1.7999999999999999E-2</v>
      </c>
      <c r="F19" s="323">
        <v>7.0000000000000001E-3</v>
      </c>
      <c r="H19" s="323"/>
      <c r="I19" s="323"/>
      <c r="J19" s="323"/>
      <c r="K19" s="323"/>
    </row>
    <row r="20" spans="1:11">
      <c r="A20" s="1007"/>
      <c r="B20" s="162">
        <v>6</v>
      </c>
      <c r="D20" s="323">
        <v>3.5999999999999997E-2</v>
      </c>
      <c r="E20" s="323">
        <v>2.3E-2</v>
      </c>
      <c r="F20" s="323">
        <v>8.9999999999999993E-3</v>
      </c>
      <c r="I20" s="323"/>
      <c r="J20" s="323"/>
      <c r="K20" s="323"/>
    </row>
    <row r="21" spans="1:11">
      <c r="A21" s="1007"/>
      <c r="B21" s="162">
        <v>7</v>
      </c>
      <c r="D21" s="323">
        <v>4.2999999999999997E-2</v>
      </c>
      <c r="E21" s="323">
        <v>2.8000000000000001E-2</v>
      </c>
      <c r="F21" s="323">
        <v>1.0999999999999999E-2</v>
      </c>
      <c r="I21" s="323"/>
      <c r="J21" s="323"/>
      <c r="K21" s="323"/>
    </row>
    <row r="22" spans="1:11">
      <c r="A22" s="1007"/>
      <c r="B22" s="162">
        <v>8</v>
      </c>
      <c r="D22" s="323">
        <v>0.05</v>
      </c>
      <c r="E22" s="323">
        <v>3.2000000000000001E-2</v>
      </c>
      <c r="F22" s="323">
        <v>1.2999999999999999E-2</v>
      </c>
      <c r="I22" s="323"/>
      <c r="J22" s="323"/>
      <c r="K22" s="323"/>
    </row>
    <row r="23" spans="1:11">
      <c r="A23" s="1007"/>
      <c r="B23" s="162">
        <v>9</v>
      </c>
      <c r="D23" s="323">
        <v>5.8000000000000003E-2</v>
      </c>
      <c r="E23" s="323">
        <v>3.6999999999999998E-2</v>
      </c>
      <c r="F23" s="323">
        <v>1.4999999999999999E-2</v>
      </c>
      <c r="I23" s="323"/>
      <c r="J23" s="323"/>
      <c r="K23" s="323"/>
    </row>
    <row r="24" spans="1:11">
      <c r="A24" s="1007"/>
      <c r="B24" s="162">
        <v>10</v>
      </c>
      <c r="D24" s="323">
        <v>6.5000000000000002E-2</v>
      </c>
      <c r="E24" s="323">
        <v>4.2000000000000003E-2</v>
      </c>
      <c r="F24" s="323">
        <v>1.7000000000000001E-2</v>
      </c>
      <c r="I24" s="323"/>
      <c r="J24" s="323"/>
      <c r="K24" s="323"/>
    </row>
    <row r="25" spans="1:11">
      <c r="A25" s="1007"/>
      <c r="B25" s="162">
        <v>11</v>
      </c>
      <c r="E25" s="323">
        <v>4.7E-2</v>
      </c>
      <c r="F25" s="323">
        <v>1.9E-2</v>
      </c>
      <c r="J25" s="323"/>
      <c r="K25" s="323"/>
    </row>
    <row r="26" spans="1:11">
      <c r="A26" s="1007"/>
      <c r="B26" s="162">
        <v>12</v>
      </c>
      <c r="E26" s="323">
        <v>5.0999999999999997E-2</v>
      </c>
      <c r="F26" s="323">
        <v>2.1000000000000001E-2</v>
      </c>
      <c r="J26" s="323"/>
      <c r="K26" s="323"/>
    </row>
    <row r="27" spans="1:11">
      <c r="A27" s="1007"/>
      <c r="B27" s="162">
        <v>13</v>
      </c>
      <c r="E27" s="323">
        <v>5.6000000000000001E-2</v>
      </c>
      <c r="F27" s="323">
        <v>2.1999999999999999E-2</v>
      </c>
      <c r="J27" s="323"/>
      <c r="K27" s="323"/>
    </row>
    <row r="28" spans="1:11">
      <c r="A28" s="1007"/>
      <c r="B28" s="162">
        <v>14</v>
      </c>
      <c r="E28" s="323">
        <v>6.0999999999999999E-2</v>
      </c>
      <c r="F28" s="323">
        <v>2.4E-2</v>
      </c>
      <c r="J28" s="323"/>
      <c r="K28" s="323"/>
    </row>
    <row r="29" spans="1:11">
      <c r="A29" s="1007"/>
      <c r="B29" s="162">
        <v>15</v>
      </c>
      <c r="E29" s="323">
        <v>6.6000000000000003E-2</v>
      </c>
      <c r="F29" s="323">
        <v>2.5999999999999999E-2</v>
      </c>
      <c r="J29" s="323"/>
      <c r="K29" s="323"/>
    </row>
    <row r="30" spans="1:11">
      <c r="A30" s="1007"/>
      <c r="B30" s="162">
        <v>16</v>
      </c>
      <c r="E30" s="323">
        <v>7.0000000000000007E-2</v>
      </c>
      <c r="F30" s="323">
        <v>2.8000000000000001E-2</v>
      </c>
      <c r="J30" s="323"/>
      <c r="K30" s="323"/>
    </row>
    <row r="31" spans="1:11">
      <c r="A31" s="1007"/>
      <c r="B31" s="162">
        <v>17</v>
      </c>
      <c r="E31" s="323">
        <v>7.4999999999999997E-2</v>
      </c>
      <c r="F31" s="323">
        <v>0.03</v>
      </c>
      <c r="J31" s="323"/>
      <c r="K31" s="323"/>
    </row>
    <row r="32" spans="1:11">
      <c r="A32" s="1007"/>
      <c r="B32" s="162">
        <v>18</v>
      </c>
      <c r="E32" s="323">
        <v>0.08</v>
      </c>
      <c r="F32" s="323">
        <v>3.2000000000000001E-2</v>
      </c>
      <c r="J32" s="323"/>
      <c r="K32" s="323"/>
    </row>
    <row r="33" spans="1:11">
      <c r="A33" s="1007"/>
      <c r="B33" s="162">
        <v>19</v>
      </c>
      <c r="E33" s="323">
        <v>8.5000000000000006E-2</v>
      </c>
      <c r="F33" s="323">
        <v>3.4000000000000002E-2</v>
      </c>
      <c r="J33" s="323"/>
      <c r="K33" s="323"/>
    </row>
    <row r="34" spans="1:11">
      <c r="A34" s="1007"/>
      <c r="B34" s="162">
        <v>20</v>
      </c>
      <c r="E34" s="323">
        <v>0.09</v>
      </c>
      <c r="F34" s="323">
        <v>3.5999999999999997E-2</v>
      </c>
      <c r="J34" s="323"/>
      <c r="K34" s="323"/>
    </row>
    <row r="35" spans="1:11">
      <c r="A35" s="1007"/>
      <c r="B35" s="162">
        <v>21</v>
      </c>
      <c r="F35" s="323">
        <v>3.7999999999999999E-2</v>
      </c>
      <c r="K35" s="323"/>
    </row>
    <row r="36" spans="1:11">
      <c r="A36" s="1007"/>
      <c r="B36" s="162">
        <v>22</v>
      </c>
      <c r="F36" s="323">
        <v>0.04</v>
      </c>
      <c r="K36" s="323"/>
    </row>
    <row r="37" spans="1:11">
      <c r="A37" s="1007"/>
      <c r="B37" s="162">
        <v>23</v>
      </c>
      <c r="F37" s="323">
        <v>4.1000000000000002E-2</v>
      </c>
      <c r="K37" s="323"/>
    </row>
    <row r="38" spans="1:11">
      <c r="A38" s="1007"/>
      <c r="B38" s="162">
        <v>24</v>
      </c>
      <c r="F38" s="323">
        <v>4.2999999999999997E-2</v>
      </c>
      <c r="K38" s="323"/>
    </row>
    <row r="39" spans="1:11">
      <c r="A39" s="1007"/>
      <c r="B39" s="162">
        <v>25</v>
      </c>
      <c r="F39" s="323">
        <v>4.4999999999999998E-2</v>
      </c>
      <c r="K39" s="323"/>
    </row>
    <row r="40" spans="1:11">
      <c r="A40" s="1007"/>
      <c r="B40" s="162">
        <v>26</v>
      </c>
      <c r="F40" s="323">
        <v>4.7E-2</v>
      </c>
      <c r="K40" s="323"/>
    </row>
    <row r="41" spans="1:11">
      <c r="A41" s="1007"/>
      <c r="B41" s="162">
        <v>27</v>
      </c>
      <c r="F41" s="323">
        <v>4.9000000000000002E-2</v>
      </c>
      <c r="K41" s="323"/>
    </row>
    <row r="42" spans="1:11">
      <c r="A42" s="1007"/>
      <c r="B42" s="162">
        <v>28</v>
      </c>
      <c r="F42" s="323">
        <v>5.0999999999999997E-2</v>
      </c>
      <c r="K42" s="323"/>
    </row>
    <row r="43" spans="1:11">
      <c r="A43" s="1007"/>
      <c r="B43" s="162">
        <v>29</v>
      </c>
      <c r="F43" s="323">
        <v>5.2999999999999999E-2</v>
      </c>
      <c r="K43" s="323"/>
    </row>
    <row r="44" spans="1:11">
      <c r="A44" s="1007"/>
      <c r="B44" s="162">
        <v>30</v>
      </c>
      <c r="F44" s="323">
        <v>5.5E-2</v>
      </c>
      <c r="K44" s="323"/>
    </row>
    <row r="45" spans="1:11">
      <c r="A45" s="1007"/>
      <c r="B45" s="162">
        <v>31</v>
      </c>
      <c r="F45" s="323">
        <v>5.7000000000000002E-2</v>
      </c>
      <c r="K45" s="323"/>
    </row>
    <row r="46" spans="1:11">
      <c r="A46" s="1007"/>
      <c r="B46" s="162">
        <v>32</v>
      </c>
      <c r="F46" s="323">
        <v>5.8999999999999997E-2</v>
      </c>
      <c r="K46" s="323"/>
    </row>
    <row r="47" spans="1:11">
      <c r="A47" s="1007"/>
      <c r="B47" s="162">
        <v>33</v>
      </c>
      <c r="F47" s="323">
        <v>6.0999999999999999E-2</v>
      </c>
      <c r="K47" s="323"/>
    </row>
    <row r="48" spans="1:11">
      <c r="A48" s="1007"/>
      <c r="B48" s="162">
        <v>34</v>
      </c>
      <c r="F48" s="323">
        <v>6.3E-2</v>
      </c>
      <c r="K48" s="323"/>
    </row>
    <row r="49" spans="1:11">
      <c r="A49" s="1007"/>
      <c r="B49" s="162">
        <v>35</v>
      </c>
      <c r="F49" s="323">
        <v>6.5000000000000002E-2</v>
      </c>
      <c r="K49" s="323"/>
    </row>
    <row r="50" spans="1:11">
      <c r="A50" s="1007"/>
      <c r="B50" s="162">
        <v>36</v>
      </c>
      <c r="F50" s="323">
        <v>6.7000000000000004E-2</v>
      </c>
      <c r="K50" s="323"/>
    </row>
    <row r="51" spans="1:11">
      <c r="A51" s="1007"/>
      <c r="B51" s="162">
        <v>37</v>
      </c>
      <c r="F51" s="323">
        <v>6.8000000000000005E-2</v>
      </c>
      <c r="K51" s="323"/>
    </row>
    <row r="52" spans="1:11">
      <c r="A52" s="1007"/>
      <c r="B52" s="162">
        <v>38</v>
      </c>
      <c r="F52" s="323">
        <v>7.0000000000000007E-2</v>
      </c>
      <c r="K52" s="323"/>
    </row>
    <row r="53" spans="1:11">
      <c r="A53" s="1007"/>
      <c r="B53" s="162">
        <v>39</v>
      </c>
      <c r="F53" s="323">
        <v>7.1999999999999995E-2</v>
      </c>
      <c r="K53" s="323"/>
    </row>
    <row r="54" spans="1:11">
      <c r="A54" s="1007"/>
      <c r="B54" s="162">
        <v>40</v>
      </c>
      <c r="F54" s="323">
        <v>7.3999999999999996E-2</v>
      </c>
      <c r="K54" s="323"/>
    </row>
    <row r="55" spans="1:11">
      <c r="A55" s="1007"/>
      <c r="B55" s="162">
        <v>41</v>
      </c>
      <c r="F55" s="323">
        <v>7.5999999999999998E-2</v>
      </c>
      <c r="K55" s="323"/>
    </row>
    <row r="56" spans="1:11">
      <c r="A56" s="1007"/>
      <c r="B56" s="162">
        <v>42</v>
      </c>
      <c r="F56" s="323">
        <v>7.8E-2</v>
      </c>
      <c r="K56" s="323"/>
    </row>
    <row r="57" spans="1:11">
      <c r="A57" s="1007"/>
      <c r="B57" s="162">
        <v>43</v>
      </c>
      <c r="F57" s="323">
        <v>0.08</v>
      </c>
      <c r="K57" s="323"/>
    </row>
    <row r="58" spans="1:11">
      <c r="A58" s="1007"/>
      <c r="B58" s="162">
        <v>44</v>
      </c>
      <c r="F58" s="323">
        <v>8.2000000000000003E-2</v>
      </c>
      <c r="K58" s="323"/>
    </row>
    <row r="59" spans="1:11">
      <c r="A59" s="1007"/>
      <c r="B59" s="162">
        <v>45</v>
      </c>
      <c r="F59" s="323">
        <v>8.4000000000000005E-2</v>
      </c>
      <c r="K59" s="323"/>
    </row>
    <row r="60" spans="1:11">
      <c r="A60" s="1007"/>
      <c r="B60" s="162">
        <v>46</v>
      </c>
      <c r="F60" s="323">
        <v>8.5999999999999993E-2</v>
      </c>
      <c r="K60" s="323"/>
    </row>
    <row r="61" spans="1:11">
      <c r="A61" s="1007"/>
      <c r="B61" s="162">
        <v>47</v>
      </c>
      <c r="F61" s="323">
        <v>8.7999999999999995E-2</v>
      </c>
      <c r="K61" s="323"/>
    </row>
    <row r="62" spans="1:11">
      <c r="A62" s="1007"/>
      <c r="B62" s="162">
        <v>48</v>
      </c>
      <c r="F62" s="323">
        <v>0.09</v>
      </c>
      <c r="K62" s="323"/>
    </row>
    <row r="63" spans="1:11">
      <c r="A63" s="1007"/>
      <c r="B63" s="162">
        <v>49</v>
      </c>
      <c r="F63" s="323">
        <v>9.1999999999999998E-2</v>
      </c>
      <c r="K63" s="323"/>
    </row>
    <row r="64" spans="1:11">
      <c r="A64" s="1007"/>
      <c r="B64" s="162">
        <v>50</v>
      </c>
      <c r="F64" s="323">
        <v>9.4E-2</v>
      </c>
      <c r="K64" s="323"/>
    </row>
    <row r="65" spans="1:11">
      <c r="A65" s="1007"/>
      <c r="B65" s="162">
        <v>51</v>
      </c>
      <c r="F65" s="323">
        <v>9.6000000000000002E-2</v>
      </c>
      <c r="K65" s="323"/>
    </row>
    <row r="66" spans="1:11">
      <c r="A66" s="1007"/>
      <c r="B66" s="162">
        <v>52</v>
      </c>
      <c r="F66" s="323">
        <v>9.8000000000000004E-2</v>
      </c>
      <c r="K66" s="323"/>
    </row>
    <row r="67" spans="1:11">
      <c r="A67" s="1007"/>
      <c r="B67" s="162">
        <v>53</v>
      </c>
      <c r="F67" s="323">
        <v>0.1</v>
      </c>
      <c r="K67" s="323"/>
    </row>
    <row r="68" spans="1:11">
      <c r="A68" s="1007"/>
      <c r="B68" s="162">
        <v>54</v>
      </c>
      <c r="F68" s="323">
        <v>0.10199999999999999</v>
      </c>
      <c r="K68" s="323"/>
    </row>
    <row r="69" spans="1:11">
      <c r="A69" s="1007"/>
      <c r="B69" s="162">
        <v>55</v>
      </c>
      <c r="F69" s="323">
        <v>0.104</v>
      </c>
      <c r="K69" s="323"/>
    </row>
    <row r="70" spans="1:11">
      <c r="A70" s="1007"/>
      <c r="B70" s="162">
        <v>56</v>
      </c>
      <c r="F70" s="323">
        <v>0.106</v>
      </c>
      <c r="K70" s="323"/>
    </row>
    <row r="71" spans="1:11">
      <c r="A71" s="1007"/>
      <c r="B71" s="162">
        <v>57</v>
      </c>
      <c r="F71" s="323">
        <v>0.108</v>
      </c>
      <c r="K71" s="323"/>
    </row>
    <row r="72" spans="1:11">
      <c r="A72" s="1007"/>
      <c r="B72" s="162">
        <v>58</v>
      </c>
      <c r="F72" s="323">
        <v>0.11</v>
      </c>
      <c r="K72" s="323"/>
    </row>
    <row r="73" spans="1:11">
      <c r="A73" s="1007"/>
      <c r="B73" s="162">
        <v>59</v>
      </c>
      <c r="F73" s="323">
        <v>0.112</v>
      </c>
      <c r="K73" s="323"/>
    </row>
    <row r="74" spans="1:11">
      <c r="A74" s="1008"/>
      <c r="B74" s="162">
        <v>60</v>
      </c>
      <c r="F74" s="323">
        <v>0.114</v>
      </c>
      <c r="K74" s="323"/>
    </row>
    <row r="81" spans="3:6">
      <c r="C81" s="322"/>
      <c r="D81" s="322"/>
      <c r="E81" s="322"/>
      <c r="F81" s="322"/>
    </row>
  </sheetData>
  <sheetProtection password="F4F5" sheet="1" objects="1" scenarios="1" selectLockedCells="1" selectUnlockedCells="1"/>
  <mergeCells count="4">
    <mergeCell ref="B4:G4"/>
    <mergeCell ref="B6:G6"/>
    <mergeCell ref="A15:A74"/>
    <mergeCell ref="C11:F11"/>
  </mergeCells>
  <printOptions horizontalCentered="1" verticalCentered="1"/>
  <pageMargins left="0.78740157480314965" right="0.78740157480314965" top="0.39370078740157483" bottom="0.39370078740157483" header="0" footer="0"/>
  <pageSetup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Hoja13">
    <tabColor indexed="10"/>
    <pageSetUpPr fitToPage="1"/>
  </sheetPr>
  <dimension ref="A2:AQ45"/>
  <sheetViews>
    <sheetView topLeftCell="AI16" workbookViewId="0">
      <selection activeCell="AH16" sqref="A1:AH65536"/>
    </sheetView>
  </sheetViews>
  <sheetFormatPr baseColWidth="10" defaultColWidth="9.33203125" defaultRowHeight="12.75"/>
  <cols>
    <col min="1" max="1" width="25.5" style="247" hidden="1" customWidth="1"/>
    <col min="2" max="2" width="22.5" style="247" hidden="1" customWidth="1"/>
    <col min="3" max="3" width="18.83203125" style="247" hidden="1" customWidth="1"/>
    <col min="4" max="4" width="24" style="247" hidden="1" customWidth="1"/>
    <col min="5" max="5" width="20.5" style="247" hidden="1" customWidth="1"/>
    <col min="6" max="6" width="18.83203125" style="247" hidden="1" customWidth="1"/>
    <col min="7" max="7" width="14" style="251" hidden="1" customWidth="1"/>
    <col min="8" max="8" width="3.5" style="251" hidden="1" customWidth="1"/>
    <col min="9" max="9" width="11.1640625" style="251" hidden="1" customWidth="1"/>
    <col min="10" max="10" width="16.83203125" style="251" hidden="1" customWidth="1"/>
    <col min="11" max="11" width="18.5" style="251" hidden="1" customWidth="1"/>
    <col min="12" max="12" width="15.1640625" style="251" hidden="1" customWidth="1"/>
    <col min="13" max="13" width="16.33203125" style="251" hidden="1" customWidth="1"/>
    <col min="14" max="14" width="16.83203125" style="251" hidden="1" customWidth="1"/>
    <col min="15" max="15" width="15.6640625" style="251" hidden="1" customWidth="1"/>
    <col min="16" max="16" width="14.83203125" style="251" hidden="1" customWidth="1"/>
    <col min="17" max="17" width="17.6640625" style="251" hidden="1" customWidth="1"/>
    <col min="18" max="18" width="12" style="251" hidden="1" customWidth="1"/>
    <col min="19" max="19" width="15.6640625" style="251" hidden="1" customWidth="1"/>
    <col min="20" max="20" width="14.33203125" style="251" hidden="1" customWidth="1"/>
    <col min="21" max="21" width="15.5" style="251" hidden="1" customWidth="1"/>
    <col min="22" max="23" width="12" style="251" hidden="1" customWidth="1"/>
    <col min="24" max="24" width="12" style="250" hidden="1" customWidth="1"/>
    <col min="25" max="25" width="25" style="250" hidden="1" customWidth="1"/>
    <col min="26" max="26" width="16.83203125" style="250" hidden="1" customWidth="1"/>
    <col min="27" max="28" width="12" style="250" hidden="1" customWidth="1"/>
    <col min="29" max="29" width="24.6640625" style="250" hidden="1" customWidth="1"/>
    <col min="30" max="34" width="9.33203125" style="250" hidden="1" customWidth="1"/>
    <col min="35" max="37" width="9.33203125" style="250" customWidth="1"/>
    <col min="38" max="39" width="9.33203125" style="329" customWidth="1"/>
    <col min="40" max="41" width="9.33203125" style="249" customWidth="1"/>
    <col min="42" max="43" width="9.33203125" style="248" customWidth="1"/>
    <col min="44" max="16384" width="9.33203125" style="247"/>
  </cols>
  <sheetData>
    <row r="2" spans="1:32">
      <c r="A2" s="270"/>
    </row>
    <row r="3" spans="1:32" ht="19.5">
      <c r="A3" s="1002" t="s">
        <v>190</v>
      </c>
      <c r="B3" s="1002"/>
      <c r="C3" s="1002"/>
      <c r="D3" s="1002"/>
      <c r="E3" s="1002"/>
      <c r="F3" s="1002"/>
      <c r="U3" s="250"/>
      <c r="V3" s="250"/>
      <c r="W3" s="250"/>
    </row>
    <row r="4" spans="1:32">
      <c r="A4" s="270"/>
      <c r="U4" s="284">
        <v>38875</v>
      </c>
      <c r="V4" s="250"/>
      <c r="W4" s="250"/>
    </row>
    <row r="5" spans="1:32">
      <c r="A5" s="270"/>
      <c r="U5" s="284"/>
      <c r="V5" s="250"/>
      <c r="W5" s="250"/>
    </row>
    <row r="6" spans="1:32" ht="13.5" thickBot="1">
      <c r="A6" s="270"/>
      <c r="U6" s="284"/>
      <c r="V6" s="250"/>
      <c r="W6" s="250"/>
    </row>
    <row r="7" spans="1:32" ht="13.5" thickBot="1">
      <c r="A7" s="999" t="s">
        <v>164</v>
      </c>
      <c r="B7" s="1000"/>
      <c r="D7" s="256"/>
      <c r="E7" s="256"/>
      <c r="F7" s="256"/>
      <c r="G7" s="252"/>
      <c r="H7" s="252"/>
      <c r="I7" s="252"/>
      <c r="J7" s="252"/>
      <c r="U7" s="250"/>
      <c r="V7" s="250"/>
      <c r="W7" s="250"/>
    </row>
    <row r="8" spans="1:32">
      <c r="A8" s="280" t="s">
        <v>163</v>
      </c>
      <c r="B8" s="279"/>
      <c r="D8" s="256"/>
      <c r="E8" s="256"/>
      <c r="F8" s="256"/>
      <c r="G8" s="252"/>
      <c r="H8" s="252"/>
      <c r="I8" s="252"/>
      <c r="J8" s="252"/>
      <c r="U8" s="250"/>
      <c r="V8" s="250"/>
      <c r="W8" s="250"/>
    </row>
    <row r="9" spans="1:32" ht="13.5" thickBot="1">
      <c r="A9" s="274" t="s">
        <v>162</v>
      </c>
      <c r="B9" s="283"/>
      <c r="C9" s="248"/>
      <c r="D9" s="272"/>
      <c r="E9" s="272"/>
      <c r="F9" s="272"/>
      <c r="G9" s="252"/>
      <c r="H9" s="252"/>
      <c r="I9" s="252"/>
      <c r="J9" s="252"/>
      <c r="U9" s="250"/>
      <c r="V9" s="250"/>
      <c r="W9" s="250"/>
    </row>
    <row r="10" spans="1:32" ht="13.5" thickBot="1">
      <c r="C10" s="248"/>
      <c r="D10" s="272"/>
      <c r="E10" s="272"/>
      <c r="F10" s="272"/>
      <c r="G10" s="252"/>
      <c r="H10" s="252"/>
      <c r="I10" s="252"/>
      <c r="J10" s="252"/>
      <c r="U10" s="250"/>
      <c r="V10" s="250"/>
      <c r="W10" s="250"/>
    </row>
    <row r="11" spans="1:32" ht="13.5" thickBot="1">
      <c r="A11" s="999" t="s">
        <v>161</v>
      </c>
      <c r="B11" s="1000"/>
      <c r="C11" s="248"/>
      <c r="D11" s="282" t="s">
        <v>134</v>
      </c>
      <c r="E11" s="282"/>
      <c r="F11" s="282"/>
      <c r="G11" s="281"/>
      <c r="H11" s="281"/>
      <c r="I11" s="281"/>
      <c r="J11" s="281"/>
      <c r="U11" s="250"/>
      <c r="V11" s="250"/>
      <c r="W11" s="250"/>
    </row>
    <row r="12" spans="1:32">
      <c r="A12" s="280" t="s">
        <v>29</v>
      </c>
      <c r="B12" s="279">
        <v>12</v>
      </c>
      <c r="C12" s="248"/>
      <c r="D12" s="272" t="s">
        <v>133</v>
      </c>
      <c r="E12" s="272"/>
      <c r="F12" s="278" t="s">
        <v>98</v>
      </c>
      <c r="G12" s="277"/>
      <c r="H12" s="277"/>
      <c r="I12" s="277"/>
      <c r="J12" s="277" t="s">
        <v>132</v>
      </c>
      <c r="U12" s="250"/>
      <c r="V12" s="250"/>
      <c r="W12" s="250"/>
      <c r="X12" s="250" t="s">
        <v>68</v>
      </c>
      <c r="Y12" s="250" t="s">
        <v>65</v>
      </c>
      <c r="Z12" s="250" t="s">
        <v>66</v>
      </c>
    </row>
    <row r="13" spans="1:32">
      <c r="A13" s="276" t="s">
        <v>68</v>
      </c>
      <c r="B13" s="275" t="s">
        <v>113</v>
      </c>
      <c r="C13" s="248"/>
      <c r="D13" s="272" t="s">
        <v>97</v>
      </c>
      <c r="E13" s="272"/>
      <c r="F13" s="211">
        <v>450</v>
      </c>
      <c r="G13" s="252"/>
      <c r="H13" s="252"/>
      <c r="I13" s="252"/>
      <c r="J13" s="260">
        <v>250</v>
      </c>
      <c r="U13" s="250"/>
      <c r="V13" s="250"/>
      <c r="W13" s="250"/>
      <c r="X13" s="250" t="s">
        <v>65</v>
      </c>
      <c r="Y13" s="253" t="s">
        <v>160</v>
      </c>
      <c r="Z13" s="261" t="s">
        <v>44</v>
      </c>
      <c r="AA13" s="250" t="s">
        <v>147</v>
      </c>
      <c r="AC13" s="261" t="s">
        <v>160</v>
      </c>
      <c r="AD13" s="250" t="s">
        <v>65</v>
      </c>
      <c r="AE13" s="253" t="s">
        <v>150</v>
      </c>
      <c r="AF13" s="252" t="s">
        <v>147</v>
      </c>
    </row>
    <row r="14" spans="1:32">
      <c r="A14" s="276" t="s">
        <v>67</v>
      </c>
      <c r="B14" s="275" t="str">
        <f>Cotizador!D9</f>
        <v>F-250</v>
      </c>
      <c r="C14" s="248"/>
      <c r="D14" s="272" t="s">
        <v>131</v>
      </c>
      <c r="E14" s="272"/>
      <c r="F14" s="51">
        <v>0.28499999999999998</v>
      </c>
      <c r="G14" s="252"/>
      <c r="H14" s="252"/>
      <c r="I14" s="252"/>
      <c r="J14" s="263">
        <v>0.28499999999999998</v>
      </c>
      <c r="U14" s="250"/>
      <c r="V14" s="250"/>
      <c r="W14" s="250"/>
      <c r="X14" s="250" t="s">
        <v>66</v>
      </c>
      <c r="Y14" s="253" t="s">
        <v>159</v>
      </c>
      <c r="Z14" s="261" t="s">
        <v>55</v>
      </c>
      <c r="AA14" s="250" t="s">
        <v>147</v>
      </c>
      <c r="AC14" s="261" t="s">
        <v>159</v>
      </c>
      <c r="AD14" s="250" t="s">
        <v>65</v>
      </c>
      <c r="AE14" s="253" t="s">
        <v>50</v>
      </c>
      <c r="AF14" s="252" t="s">
        <v>147</v>
      </c>
    </row>
    <row r="15" spans="1:32" ht="14.25" thickBot="1">
      <c r="A15" s="274" t="s">
        <v>72</v>
      </c>
      <c r="B15" s="273">
        <f>Cotizador!D17</f>
        <v>184100</v>
      </c>
      <c r="C15" s="248"/>
      <c r="D15" s="272" t="s">
        <v>130</v>
      </c>
      <c r="E15" s="272"/>
      <c r="F15" s="51"/>
      <c r="G15" s="252"/>
      <c r="H15" s="252"/>
      <c r="I15" s="252"/>
      <c r="J15" s="263">
        <v>0.28499999999999998</v>
      </c>
      <c r="U15" s="250"/>
      <c r="V15" s="250"/>
      <c r="W15" s="250"/>
      <c r="Y15" s="335" t="s">
        <v>122</v>
      </c>
      <c r="Z15" s="261" t="s">
        <v>150</v>
      </c>
      <c r="AA15" s="250" t="s">
        <v>147</v>
      </c>
      <c r="AC15" s="261" t="s">
        <v>20</v>
      </c>
      <c r="AD15" s="250" t="s">
        <v>65</v>
      </c>
      <c r="AE15" s="253" t="s">
        <v>52</v>
      </c>
      <c r="AF15" s="252" t="s">
        <v>147</v>
      </c>
    </row>
    <row r="16" spans="1:32">
      <c r="C16" s="248"/>
      <c r="D16" s="272" t="s">
        <v>127</v>
      </c>
      <c r="E16" s="272"/>
      <c r="F16" s="51">
        <v>1</v>
      </c>
      <c r="G16" s="252"/>
      <c r="H16" s="252"/>
      <c r="I16" s="252"/>
      <c r="J16" s="263">
        <v>0.1258</v>
      </c>
      <c r="U16" s="250"/>
      <c r="V16" s="250"/>
      <c r="W16" s="250"/>
      <c r="Y16" s="253" t="s">
        <v>22</v>
      </c>
      <c r="Z16" s="261" t="s">
        <v>50</v>
      </c>
      <c r="AA16" s="250" t="s">
        <v>147</v>
      </c>
      <c r="AC16" s="261" t="s">
        <v>22</v>
      </c>
      <c r="AD16" s="250" t="s">
        <v>65</v>
      </c>
      <c r="AE16" s="253" t="s">
        <v>149</v>
      </c>
      <c r="AF16" s="252" t="s">
        <v>147</v>
      </c>
    </row>
    <row r="17" spans="1:32">
      <c r="C17" s="248"/>
      <c r="D17" s="272" t="s">
        <v>125</v>
      </c>
      <c r="E17" s="272" t="s">
        <v>124</v>
      </c>
      <c r="F17" s="51">
        <v>1</v>
      </c>
      <c r="G17" s="252"/>
      <c r="H17" s="252"/>
      <c r="I17" s="252"/>
      <c r="J17" s="263">
        <v>-0.23100000000000001</v>
      </c>
      <c r="U17" s="250"/>
      <c r="V17" s="250"/>
      <c r="W17" s="250"/>
      <c r="Y17" s="253" t="s">
        <v>15</v>
      </c>
      <c r="Z17" s="261" t="s">
        <v>52</v>
      </c>
      <c r="AA17" s="250" t="s">
        <v>147</v>
      </c>
      <c r="AC17" s="261" t="s">
        <v>15</v>
      </c>
      <c r="AD17" s="250" t="s">
        <v>65</v>
      </c>
      <c r="AE17" s="253" t="s">
        <v>141</v>
      </c>
      <c r="AF17" s="252" t="s">
        <v>147</v>
      </c>
    </row>
    <row r="18" spans="1:32">
      <c r="D18" s="256"/>
      <c r="E18" s="256"/>
      <c r="F18" s="256"/>
      <c r="G18" s="252"/>
      <c r="H18" s="252"/>
      <c r="I18" s="252"/>
      <c r="J18" s="252"/>
      <c r="U18" s="250"/>
      <c r="V18" s="250"/>
      <c r="W18" s="250"/>
      <c r="Y18" s="253" t="s">
        <v>21</v>
      </c>
      <c r="Z18" s="253" t="s">
        <v>149</v>
      </c>
      <c r="AA18" s="250" t="s">
        <v>147</v>
      </c>
      <c r="AC18" s="261" t="s">
        <v>21</v>
      </c>
      <c r="AD18" s="250" t="s">
        <v>65</v>
      </c>
      <c r="AE18" s="253" t="s">
        <v>54</v>
      </c>
      <c r="AF18" s="252" t="s">
        <v>147</v>
      </c>
    </row>
    <row r="19" spans="1:32">
      <c r="A19" s="271" t="s">
        <v>158</v>
      </c>
      <c r="U19" s="250"/>
      <c r="V19" s="250"/>
      <c r="W19" s="250"/>
      <c r="Y19" s="334" t="s">
        <v>157</v>
      </c>
      <c r="Z19" s="253" t="s">
        <v>141</v>
      </c>
      <c r="AA19" s="250" t="s">
        <v>147</v>
      </c>
      <c r="AC19" s="261" t="s">
        <v>40</v>
      </c>
      <c r="AD19" s="250" t="s">
        <v>65</v>
      </c>
      <c r="AE19" s="253" t="s">
        <v>44</v>
      </c>
      <c r="AF19" s="252" t="s">
        <v>147</v>
      </c>
    </row>
    <row r="20" spans="1:32">
      <c r="U20" s="250"/>
      <c r="V20" s="250"/>
      <c r="W20" s="250"/>
      <c r="Y20" s="253" t="s">
        <v>104</v>
      </c>
      <c r="Z20" s="253" t="s">
        <v>54</v>
      </c>
      <c r="AA20" s="250" t="s">
        <v>147</v>
      </c>
      <c r="AC20" s="261" t="s">
        <v>104</v>
      </c>
      <c r="AD20" s="250" t="s">
        <v>65</v>
      </c>
      <c r="AE20" s="261" t="s">
        <v>106</v>
      </c>
      <c r="AF20" s="252" t="s">
        <v>147</v>
      </c>
    </row>
    <row r="21" spans="1:32">
      <c r="A21" s="270"/>
      <c r="B21" s="269" t="s">
        <v>57</v>
      </c>
      <c r="C21" s="269" t="s">
        <v>58</v>
      </c>
      <c r="D21" s="269" t="s">
        <v>59</v>
      </c>
      <c r="E21" s="269" t="s">
        <v>60</v>
      </c>
      <c r="F21" s="269" t="s">
        <v>61</v>
      </c>
      <c r="U21" s="250"/>
      <c r="V21" s="250"/>
      <c r="W21" s="250"/>
      <c r="Y21" s="253" t="s">
        <v>156</v>
      </c>
      <c r="Z21" s="261" t="s">
        <v>105</v>
      </c>
      <c r="AA21" s="250" t="s">
        <v>147</v>
      </c>
      <c r="AC21" s="261" t="s">
        <v>156</v>
      </c>
      <c r="AD21" s="250" t="s">
        <v>65</v>
      </c>
      <c r="AE21" s="253" t="s">
        <v>55</v>
      </c>
      <c r="AF21" s="252" t="s">
        <v>147</v>
      </c>
    </row>
    <row r="22" spans="1:32">
      <c r="A22" s="265" t="s">
        <v>73</v>
      </c>
      <c r="B22" s="267">
        <f>I30</f>
        <v>12</v>
      </c>
      <c r="C22" s="268">
        <f>I31</f>
        <v>12</v>
      </c>
      <c r="D22" s="268">
        <f>I32</f>
        <v>12</v>
      </c>
      <c r="E22" s="267">
        <f>I33</f>
        <v>12</v>
      </c>
      <c r="F22" s="267">
        <f>I34</f>
        <v>12</v>
      </c>
      <c r="K22" s="250"/>
      <c r="U22" s="250"/>
      <c r="V22" s="250"/>
      <c r="W22" s="250"/>
      <c r="Y22" s="253" t="s">
        <v>17</v>
      </c>
      <c r="Z22" s="253" t="s">
        <v>106</v>
      </c>
      <c r="AA22" s="250" t="s">
        <v>147</v>
      </c>
      <c r="AC22" s="261" t="s">
        <v>17</v>
      </c>
      <c r="AD22" s="250" t="s">
        <v>65</v>
      </c>
      <c r="AE22" s="250" t="s">
        <v>111</v>
      </c>
      <c r="AF22" s="250" t="s">
        <v>147</v>
      </c>
    </row>
    <row r="23" spans="1:32">
      <c r="A23" s="265" t="s">
        <v>69</v>
      </c>
      <c r="B23" s="265">
        <f>J30</f>
        <v>1</v>
      </c>
      <c r="C23" s="266">
        <f>J31</f>
        <v>1</v>
      </c>
      <c r="D23" s="266">
        <f>J32</f>
        <v>2</v>
      </c>
      <c r="E23" s="265">
        <f>J33</f>
        <v>4</v>
      </c>
      <c r="F23" s="265">
        <f>J34</f>
        <v>12</v>
      </c>
      <c r="U23" s="250"/>
      <c r="V23" s="250"/>
      <c r="W23" s="250"/>
      <c r="Y23" s="253" t="s">
        <v>155</v>
      </c>
      <c r="Z23" s="262" t="s">
        <v>148</v>
      </c>
      <c r="AA23" s="250" t="s">
        <v>65</v>
      </c>
      <c r="AC23" s="261" t="s">
        <v>78</v>
      </c>
      <c r="AD23" s="250" t="s">
        <v>65</v>
      </c>
      <c r="AE23" s="250" t="s">
        <v>112</v>
      </c>
      <c r="AF23" s="250" t="s">
        <v>147</v>
      </c>
    </row>
    <row r="24" spans="1:32">
      <c r="A24" s="265" t="s">
        <v>70</v>
      </c>
      <c r="B24" s="27">
        <f>U30</f>
        <v>14368.862000000001</v>
      </c>
      <c r="C24" s="56">
        <f>U31/J31</f>
        <v>14368.862000000001</v>
      </c>
      <c r="D24" s="56">
        <f>U32/J32</f>
        <v>7234.722017000001</v>
      </c>
      <c r="E24" s="27">
        <f>U33/J33</f>
        <v>3642.5065169999998</v>
      </c>
      <c r="F24" s="27">
        <f>U34/J34</f>
        <v>1222.5506751666667</v>
      </c>
      <c r="K24" s="264"/>
      <c r="L24" s="264"/>
      <c r="M24" s="264"/>
      <c r="N24" s="264"/>
      <c r="O24" s="264"/>
      <c r="U24" s="250"/>
      <c r="V24" s="250"/>
      <c r="W24" s="250"/>
      <c r="Y24" s="261" t="s">
        <v>154</v>
      </c>
      <c r="Z24" s="262"/>
      <c r="AA24" s="250" t="s">
        <v>65</v>
      </c>
      <c r="AC24" s="261" t="s">
        <v>153</v>
      </c>
      <c r="AD24" s="250" t="s">
        <v>65</v>
      </c>
      <c r="AE24" s="253" t="s">
        <v>148</v>
      </c>
      <c r="AF24" s="252" t="s">
        <v>147</v>
      </c>
    </row>
    <row r="25" spans="1:32">
      <c r="A25" s="265" t="s">
        <v>71</v>
      </c>
      <c r="B25" s="27">
        <f>B24/J30</f>
        <v>14368.862000000001</v>
      </c>
      <c r="C25" s="56">
        <f>U31</f>
        <v>14368.862000000001</v>
      </c>
      <c r="D25" s="56">
        <f>U32</f>
        <v>14469.444034000002</v>
      </c>
      <c r="E25" s="27">
        <f>U33</f>
        <v>14570.026067999999</v>
      </c>
      <c r="F25" s="27">
        <f>U34</f>
        <v>14670.608102</v>
      </c>
      <c r="K25" s="264"/>
      <c r="L25" s="264"/>
      <c r="M25" s="264"/>
      <c r="N25" s="264"/>
      <c r="O25" s="264"/>
      <c r="U25" s="250"/>
      <c r="V25" s="250"/>
      <c r="W25" s="250"/>
      <c r="Y25" s="253" t="s">
        <v>1</v>
      </c>
      <c r="Z25" s="262"/>
      <c r="AA25" s="250" t="s">
        <v>65</v>
      </c>
      <c r="AC25" s="261" t="s">
        <v>1</v>
      </c>
      <c r="AD25" s="250" t="s">
        <v>65</v>
      </c>
    </row>
    <row r="26" spans="1:32">
      <c r="U26" s="250"/>
      <c r="V26" s="250"/>
      <c r="W26" s="250"/>
      <c r="Y26" s="253" t="s">
        <v>11</v>
      </c>
      <c r="Z26" s="262"/>
      <c r="AA26" s="250" t="s">
        <v>65</v>
      </c>
      <c r="AC26" s="261" t="s">
        <v>11</v>
      </c>
      <c r="AD26" s="250" t="s">
        <v>65</v>
      </c>
    </row>
    <row r="27" spans="1:32" s="256" customFormat="1">
      <c r="A27" s="256" t="s">
        <v>64</v>
      </c>
      <c r="B27" s="333"/>
      <c r="C27" s="330"/>
      <c r="D27" s="330"/>
      <c r="E27" s="330"/>
      <c r="F27" s="330"/>
      <c r="Y27" s="259" t="s">
        <v>18</v>
      </c>
      <c r="Z27" s="357"/>
      <c r="AA27" s="255" t="s">
        <v>65</v>
      </c>
      <c r="AC27" s="257" t="s">
        <v>18</v>
      </c>
      <c r="AD27" s="255" t="s">
        <v>65</v>
      </c>
    </row>
    <row r="28" spans="1:32" s="256" customFormat="1" ht="24.75" customHeight="1">
      <c r="A28" s="258"/>
      <c r="B28" s="331"/>
      <c r="C28" s="330"/>
      <c r="D28" s="330"/>
      <c r="E28" s="330"/>
      <c r="F28" s="330"/>
      <c r="M28" s="47"/>
      <c r="R28" s="47"/>
      <c r="Y28" s="259" t="s">
        <v>152</v>
      </c>
      <c r="Z28" s="357"/>
      <c r="AA28" s="255" t="s">
        <v>65</v>
      </c>
      <c r="AC28" s="257" t="s">
        <v>9</v>
      </c>
      <c r="AD28" s="255" t="s">
        <v>65</v>
      </c>
    </row>
    <row r="29" spans="1:32" s="256" customFormat="1" ht="38.25">
      <c r="A29" s="358" t="s">
        <v>72</v>
      </c>
      <c r="B29" s="358" t="s">
        <v>128</v>
      </c>
      <c r="C29" s="358" t="s">
        <v>92</v>
      </c>
      <c r="D29" s="358" t="s">
        <v>93</v>
      </c>
      <c r="E29" s="358" t="s">
        <v>76</v>
      </c>
      <c r="F29" s="358" t="s">
        <v>94</v>
      </c>
      <c r="G29" s="1001" t="s">
        <v>77</v>
      </c>
      <c r="H29" s="1001"/>
      <c r="I29" s="358" t="s">
        <v>62</v>
      </c>
      <c r="J29" s="358" t="s">
        <v>63</v>
      </c>
      <c r="K29" s="358" t="s">
        <v>95</v>
      </c>
      <c r="L29" s="358" t="s">
        <v>76</v>
      </c>
      <c r="M29" s="358" t="s">
        <v>86</v>
      </c>
      <c r="N29" s="358" t="s">
        <v>96</v>
      </c>
      <c r="O29" s="358" t="s">
        <v>74</v>
      </c>
      <c r="P29" s="358" t="s">
        <v>75</v>
      </c>
      <c r="Q29" s="358" t="s">
        <v>87</v>
      </c>
      <c r="R29" s="358" t="s">
        <v>88</v>
      </c>
      <c r="S29" s="358" t="s">
        <v>89</v>
      </c>
      <c r="T29" s="358" t="s">
        <v>99</v>
      </c>
      <c r="U29" s="358" t="s">
        <v>100</v>
      </c>
      <c r="Y29" s="259" t="s">
        <v>7</v>
      </c>
      <c r="Z29" s="258"/>
      <c r="AA29" s="255" t="s">
        <v>65</v>
      </c>
      <c r="AC29" s="257" t="s">
        <v>7</v>
      </c>
      <c r="AD29" s="255" t="s">
        <v>65</v>
      </c>
    </row>
    <row r="30" spans="1:32" s="256" customFormat="1">
      <c r="A30" s="359">
        <f>$B$15</f>
        <v>184100</v>
      </c>
      <c r="B30" s="360">
        <f>VLOOKUP($B$14,'Cuotas GNP p1 13'!$B$7:$E$35,3,FALSE)</f>
        <v>5.3775000000000004</v>
      </c>
      <c r="C30" s="46">
        <f>ROUND(A30*B31/100,2)</f>
        <v>9899.98</v>
      </c>
      <c r="D30" s="359">
        <f>VLOOKUP($B$14,'Cuotas GNP p1 13'!$B$7:$E$35,4,FALSE)</f>
        <v>2036.97</v>
      </c>
      <c r="E30" s="359">
        <f>C30+D30</f>
        <v>11936.949999999999</v>
      </c>
      <c r="F30" s="256" t="s">
        <v>57</v>
      </c>
      <c r="G30" s="256">
        <f>$B$12/$B$12</f>
        <v>1</v>
      </c>
      <c r="H30" s="256">
        <f>INT(G30)</f>
        <v>1</v>
      </c>
      <c r="I30" s="256">
        <f>$B$12*H30</f>
        <v>12</v>
      </c>
      <c r="J30" s="256">
        <v>1</v>
      </c>
      <c r="K30" s="256">
        <f>VLOOKUP(I30,'FACTOR LP GNP p1 13'!$A$11:$B$70,2,FALSE)</f>
        <v>1</v>
      </c>
      <c r="L30" s="46">
        <f>ROUND(E30*K30,2)</f>
        <v>11936.95</v>
      </c>
      <c r="M30" s="46">
        <f>L30*$F$14</f>
        <v>3402.0307499999999</v>
      </c>
      <c r="N30" s="46">
        <f>$F$13</f>
        <v>450</v>
      </c>
      <c r="O30" s="46">
        <f>L30+N30</f>
        <v>12386.95</v>
      </c>
      <c r="P30" s="361">
        <v>0</v>
      </c>
      <c r="Q30" s="362">
        <f>O30*P30</f>
        <v>0</v>
      </c>
      <c r="R30" s="362">
        <f>Q30*$F$15</f>
        <v>0</v>
      </c>
      <c r="S30" s="46">
        <f>O30+Q30</f>
        <v>12386.95</v>
      </c>
      <c r="T30" s="46">
        <f>S30*0.16</f>
        <v>1981.9120000000003</v>
      </c>
      <c r="U30" s="46">
        <f>S30+T30</f>
        <v>14368.862000000001</v>
      </c>
      <c r="Y30" s="259" t="s">
        <v>3</v>
      </c>
      <c r="Z30" s="258"/>
      <c r="AA30" s="255" t="s">
        <v>65</v>
      </c>
      <c r="AC30" s="257" t="s">
        <v>55</v>
      </c>
      <c r="AD30" s="255" t="s">
        <v>65</v>
      </c>
    </row>
    <row r="31" spans="1:32" s="256" customFormat="1">
      <c r="A31" s="359">
        <f>$B$15</f>
        <v>184100</v>
      </c>
      <c r="B31" s="360">
        <f>VLOOKUP($B$14,'Cuotas GNP p1 13'!$B$7:$E$35,3,FALSE)</f>
        <v>5.3775000000000004</v>
      </c>
      <c r="C31" s="46">
        <f>ROUND(A31*B32/100,2)</f>
        <v>9899.98</v>
      </c>
      <c r="D31" s="359">
        <f>VLOOKUP($B$14,'Cuotas GNP p1 13'!$B$7:$E$35,4,FALSE)</f>
        <v>2036.97</v>
      </c>
      <c r="E31" s="359">
        <f>C31+D31</f>
        <v>11936.949999999999</v>
      </c>
      <c r="F31" s="256" t="s">
        <v>58</v>
      </c>
      <c r="G31" s="256">
        <f>$B$12/12</f>
        <v>1</v>
      </c>
      <c r="H31" s="256">
        <f>INT(G31)</f>
        <v>1</v>
      </c>
      <c r="I31" s="256">
        <f>IF(H31-G31=0,H31*12,(H31+1)*12)</f>
        <v>12</v>
      </c>
      <c r="J31" s="256">
        <f>I31/12</f>
        <v>1</v>
      </c>
      <c r="K31" s="256">
        <f>VLOOKUP(I31,'FACTOR LP GNP p1 13'!$A$11:$B$70,2,FALSE)</f>
        <v>1</v>
      </c>
      <c r="L31" s="46">
        <f>ROUND(E31*K31,2)</f>
        <v>11936.95</v>
      </c>
      <c r="M31" s="46">
        <f>L31*$F$14</f>
        <v>3402.0307499999999</v>
      </c>
      <c r="N31" s="46">
        <f>$F$13</f>
        <v>450</v>
      </c>
      <c r="O31" s="46">
        <f>L31+N31</f>
        <v>12386.95</v>
      </c>
      <c r="P31" s="361">
        <f>VLOOKUP(J31,'RECARGO P FRACC GNP p1 13'!$B$15:$F$74,2,FALSE)</f>
        <v>0</v>
      </c>
      <c r="Q31" s="362">
        <f>O31*P31</f>
        <v>0</v>
      </c>
      <c r="R31" s="362">
        <f>Q31*$F$15</f>
        <v>0</v>
      </c>
      <c r="S31" s="46">
        <f>O31+Q31</f>
        <v>12386.95</v>
      </c>
      <c r="T31" s="46">
        <f>S31*0.16</f>
        <v>1981.9120000000003</v>
      </c>
      <c r="U31" s="46">
        <f>S31+T31</f>
        <v>14368.862000000001</v>
      </c>
      <c r="Y31" s="259" t="s">
        <v>151</v>
      </c>
      <c r="Z31" s="258"/>
      <c r="AA31" s="255" t="s">
        <v>65</v>
      </c>
      <c r="AC31" s="257" t="s">
        <v>4</v>
      </c>
      <c r="AD31" s="255" t="s">
        <v>65</v>
      </c>
    </row>
    <row r="32" spans="1:32" s="256" customFormat="1">
      <c r="A32" s="359">
        <f>$B$15</f>
        <v>184100</v>
      </c>
      <c r="B32" s="360">
        <f>VLOOKUP($B$14,'Cuotas GNP p1 13'!$B$7:$E$35,3,FALSE)</f>
        <v>5.3775000000000004</v>
      </c>
      <c r="C32" s="46">
        <f>ROUND(A32*B33/100,2)</f>
        <v>9899.98</v>
      </c>
      <c r="D32" s="359">
        <f>VLOOKUP($B$14,'Cuotas GNP p1 13'!$B$7:$E$35,4,FALSE)</f>
        <v>2036.97</v>
      </c>
      <c r="E32" s="359">
        <f>C32+D32</f>
        <v>11936.949999999999</v>
      </c>
      <c r="F32" s="256" t="s">
        <v>59</v>
      </c>
      <c r="G32" s="256">
        <f>IF($B$12/6&lt;=1,"",$B$12/6)</f>
        <v>2</v>
      </c>
      <c r="H32" s="256">
        <f>INT(G32)</f>
        <v>2</v>
      </c>
      <c r="I32" s="256">
        <f>IF(H32-G32=0,H32*6,(H32+1)*6)</f>
        <v>12</v>
      </c>
      <c r="J32" s="256">
        <f>I32/6</f>
        <v>2</v>
      </c>
      <c r="K32" s="256">
        <f>VLOOKUP(I32,'FACTOR LP GNP p1 13'!$A$11:$B$70,2,FALSE)</f>
        <v>1</v>
      </c>
      <c r="L32" s="46">
        <f>ROUND(E32*K32,2)</f>
        <v>11936.95</v>
      </c>
      <c r="M32" s="46">
        <f>L32*$F$14</f>
        <v>3402.0307499999999</v>
      </c>
      <c r="N32" s="46">
        <f>$F$13</f>
        <v>450</v>
      </c>
      <c r="O32" s="46">
        <f>L32+N32</f>
        <v>12386.95</v>
      </c>
      <c r="P32" s="361">
        <f>VLOOKUP(J32,'RECARGO P FRACC GNP p1 13'!$B$15:$F$74,3,FALSE)</f>
        <v>7.0000000000000001E-3</v>
      </c>
      <c r="Q32" s="362">
        <f>O32*P32</f>
        <v>86.708650000000006</v>
      </c>
      <c r="R32" s="362">
        <f>Q32*$F$15</f>
        <v>0</v>
      </c>
      <c r="S32" s="46">
        <f>O32+Q32</f>
        <v>12473.658650000001</v>
      </c>
      <c r="T32" s="46">
        <f>S32*0.16</f>
        <v>1995.7853840000002</v>
      </c>
      <c r="U32" s="46">
        <f>S32+T32</f>
        <v>14469.444034000002</v>
      </c>
      <c r="Y32" s="259" t="s">
        <v>114</v>
      </c>
      <c r="Z32" s="258"/>
      <c r="AA32" s="255" t="s">
        <v>65</v>
      </c>
      <c r="AC32" s="257" t="s">
        <v>42</v>
      </c>
      <c r="AD32" s="256" t="s">
        <v>147</v>
      </c>
    </row>
    <row r="33" spans="1:43" s="256" customFormat="1">
      <c r="A33" s="359">
        <f>$B$15</f>
        <v>184100</v>
      </c>
      <c r="B33" s="360">
        <f>VLOOKUP($B$14,'Cuotas GNP p1 13'!$B$7:$E$35,3,FALSE)</f>
        <v>5.3775000000000004</v>
      </c>
      <c r="C33" s="46">
        <f>ROUND(A33*B34/100,2)</f>
        <v>9899.98</v>
      </c>
      <c r="D33" s="359">
        <f>VLOOKUP($B$14,'Cuotas GNP p1 13'!$B$7:$E$35,4,FALSE)</f>
        <v>2036.97</v>
      </c>
      <c r="E33" s="359">
        <f>C33+D33</f>
        <v>11936.949999999999</v>
      </c>
      <c r="F33" s="256" t="s">
        <v>60</v>
      </c>
      <c r="G33" s="256">
        <f>IF($B$12/3&lt;=3,"",$B$12/3)</f>
        <v>4</v>
      </c>
      <c r="H33" s="256">
        <f>INT(G33)</f>
        <v>4</v>
      </c>
      <c r="I33" s="256">
        <f>IF(H33-G33=0,H33*3,(H33+1)*3)</f>
        <v>12</v>
      </c>
      <c r="J33" s="256">
        <f>I33/3</f>
        <v>4</v>
      </c>
      <c r="K33" s="256">
        <f>VLOOKUP(I33,'FACTOR LP GNP p1 13'!$A$11:$B$70,2,FALSE)</f>
        <v>1</v>
      </c>
      <c r="L33" s="46">
        <f>ROUND(E33*K33,2)</f>
        <v>11936.95</v>
      </c>
      <c r="M33" s="46">
        <f>L33*$F$14</f>
        <v>3402.0307499999999</v>
      </c>
      <c r="N33" s="46">
        <f>$F$13</f>
        <v>450</v>
      </c>
      <c r="O33" s="46">
        <f>L33+N33</f>
        <v>12386.95</v>
      </c>
      <c r="P33" s="361">
        <f>VLOOKUP(J33,'RECARGO P FRACC GNP p1 13'!$B$15:$F$74,4,FALSE)</f>
        <v>1.4E-2</v>
      </c>
      <c r="Q33" s="362">
        <f>O33*P33</f>
        <v>173.41730000000001</v>
      </c>
      <c r="R33" s="362">
        <f>Q33*$F$15</f>
        <v>0</v>
      </c>
      <c r="S33" s="46">
        <f>O33+Q33</f>
        <v>12560.3673</v>
      </c>
      <c r="T33" s="46">
        <f>S33*0.16</f>
        <v>2009.658768</v>
      </c>
      <c r="U33" s="46">
        <f>S33+T33</f>
        <v>14570.026067999999</v>
      </c>
      <c r="Y33" s="257" t="s">
        <v>105</v>
      </c>
      <c r="Z33" s="258"/>
      <c r="AA33" s="255" t="s">
        <v>65</v>
      </c>
      <c r="AC33" s="257" t="s">
        <v>105</v>
      </c>
      <c r="AD33" s="255" t="s">
        <v>65</v>
      </c>
    </row>
    <row r="34" spans="1:43" s="256" customFormat="1">
      <c r="A34" s="359">
        <f>$B$15</f>
        <v>184100</v>
      </c>
      <c r="B34" s="360">
        <f>VLOOKUP($B$14,'Cuotas GNP p1 13'!$B$7:$E$35,3,FALSE)</f>
        <v>5.3775000000000004</v>
      </c>
      <c r="C34" s="46">
        <f>ROUND(A34*B34/100,2)</f>
        <v>9899.98</v>
      </c>
      <c r="D34" s="359">
        <f>VLOOKUP($B$14,'Cuotas GNP p1 13'!$B$7:$E$35,4,FALSE)</f>
        <v>2036.97</v>
      </c>
      <c r="E34" s="359">
        <f>C34+D34</f>
        <v>11936.949999999999</v>
      </c>
      <c r="F34" s="256" t="s">
        <v>61</v>
      </c>
      <c r="G34" s="256">
        <f>IF($B$12/1&lt;12,"",$B$12/1)</f>
        <v>12</v>
      </c>
      <c r="H34" s="256">
        <f>INT(G34)</f>
        <v>12</v>
      </c>
      <c r="I34" s="256">
        <f>H34*1</f>
        <v>12</v>
      </c>
      <c r="J34" s="256">
        <f>I34/1</f>
        <v>12</v>
      </c>
      <c r="K34" s="256">
        <f>VLOOKUP(I34,'FACTOR LP GNP p1 13'!$A$11:$B$70,2,FALSE)</f>
        <v>1</v>
      </c>
      <c r="L34" s="46">
        <f>ROUND(E34*K34,2)</f>
        <v>11936.95</v>
      </c>
      <c r="M34" s="46">
        <f>L34*$F$14</f>
        <v>3402.0307499999999</v>
      </c>
      <c r="N34" s="46">
        <f>$F$13</f>
        <v>450</v>
      </c>
      <c r="O34" s="46">
        <f>L34+N34</f>
        <v>12386.95</v>
      </c>
      <c r="P34" s="361">
        <f>VLOOKUP(J34,'RECARGO P FRACC GNP p1 13'!$B$15:$F$74,5,FALSE)</f>
        <v>2.1000000000000001E-2</v>
      </c>
      <c r="Q34" s="362">
        <f>O34*P34</f>
        <v>260.12595000000005</v>
      </c>
      <c r="R34" s="362">
        <f>Q34*$F$15</f>
        <v>0</v>
      </c>
      <c r="S34" s="46">
        <f>O34+Q34</f>
        <v>12647.07595</v>
      </c>
      <c r="T34" s="46">
        <f>S34*0.16</f>
        <v>2023.532152</v>
      </c>
      <c r="U34" s="46">
        <f>S34+T34</f>
        <v>14670.608102</v>
      </c>
      <c r="Y34" s="259" t="s">
        <v>150</v>
      </c>
      <c r="Z34" s="258"/>
      <c r="AA34" s="256" t="s">
        <v>147</v>
      </c>
      <c r="AC34" s="259" t="s">
        <v>150</v>
      </c>
      <c r="AD34" s="256" t="s">
        <v>147</v>
      </c>
    </row>
    <row r="35" spans="1:43" s="256" customFormat="1">
      <c r="A35" s="359"/>
      <c r="B35" s="360"/>
      <c r="C35" s="46"/>
      <c r="D35" s="359"/>
      <c r="E35" s="359"/>
      <c r="L35" s="46"/>
      <c r="M35" s="46"/>
      <c r="N35" s="46"/>
      <c r="O35" s="46"/>
      <c r="P35" s="361"/>
      <c r="Q35" s="362"/>
      <c r="R35" s="362"/>
      <c r="S35" s="46"/>
      <c r="T35" s="46"/>
      <c r="U35" s="46"/>
      <c r="Y35" s="259" t="s">
        <v>50</v>
      </c>
      <c r="Z35" s="255"/>
      <c r="AA35" s="256" t="s">
        <v>147</v>
      </c>
      <c r="AC35" s="259" t="s">
        <v>50</v>
      </c>
      <c r="AD35" s="256" t="s">
        <v>147</v>
      </c>
    </row>
    <row r="36" spans="1:43" s="255" customFormat="1">
      <c r="Y36" s="255" t="s">
        <v>46</v>
      </c>
      <c r="AA36" s="255" t="s">
        <v>147</v>
      </c>
      <c r="AC36" s="255" t="s">
        <v>46</v>
      </c>
      <c r="AD36" s="256" t="s">
        <v>147</v>
      </c>
    </row>
    <row r="37" spans="1:43" s="255" customFormat="1">
      <c r="Y37" s="259" t="s">
        <v>52</v>
      </c>
      <c r="AA37" s="256" t="s">
        <v>147</v>
      </c>
      <c r="AC37" s="259" t="s">
        <v>52</v>
      </c>
      <c r="AD37" s="256" t="s">
        <v>147</v>
      </c>
    </row>
    <row r="38" spans="1:43" s="255" customFormat="1">
      <c r="A38" s="807" t="str">
        <f>'Cálculo Mens. y dif. seguro'!C42</f>
        <v>IKON</v>
      </c>
      <c r="Y38" s="259" t="s">
        <v>149</v>
      </c>
      <c r="AA38" s="256" t="s">
        <v>147</v>
      </c>
      <c r="AC38" s="259" t="s">
        <v>149</v>
      </c>
      <c r="AD38" s="256" t="s">
        <v>147</v>
      </c>
    </row>
    <row r="39" spans="1:43" s="251" customFormat="1">
      <c r="A39" s="806">
        <f>'Cálculo Mens. y dif. seguro'!C44</f>
        <v>134500</v>
      </c>
      <c r="X39" s="250"/>
      <c r="Y39" s="253" t="s">
        <v>141</v>
      </c>
      <c r="Z39" s="250"/>
      <c r="AA39" s="252" t="s">
        <v>147</v>
      </c>
      <c r="AB39" s="250"/>
      <c r="AC39" s="253" t="s">
        <v>141</v>
      </c>
      <c r="AD39" s="252" t="s">
        <v>147</v>
      </c>
      <c r="AE39" s="250"/>
      <c r="AF39" s="250"/>
      <c r="AG39" s="250"/>
      <c r="AH39" s="250"/>
      <c r="AI39" s="250"/>
      <c r="AJ39" s="250"/>
      <c r="AK39" s="250"/>
      <c r="AL39" s="250"/>
      <c r="AM39" s="250"/>
      <c r="AN39" s="250"/>
      <c r="AO39" s="250"/>
    </row>
    <row r="40" spans="1:43" s="251" customFormat="1">
      <c r="X40" s="250"/>
      <c r="Y40" s="253" t="s">
        <v>54</v>
      </c>
      <c r="Z40" s="250"/>
      <c r="AA40" s="252" t="s">
        <v>147</v>
      </c>
      <c r="AB40" s="250"/>
      <c r="AC40" s="253" t="s">
        <v>54</v>
      </c>
      <c r="AD40" s="252" t="s">
        <v>147</v>
      </c>
      <c r="AE40" s="250"/>
      <c r="AF40" s="250"/>
      <c r="AG40" s="250"/>
      <c r="AH40" s="250"/>
      <c r="AI40" s="250"/>
      <c r="AJ40" s="250"/>
      <c r="AK40" s="250"/>
      <c r="AL40" s="250"/>
      <c r="AM40" s="250"/>
      <c r="AN40" s="250"/>
      <c r="AO40" s="250"/>
    </row>
    <row r="41" spans="1:43">
      <c r="A41" s="359">
        <f>A39</f>
        <v>134500</v>
      </c>
      <c r="B41" s="360">
        <f>VLOOKUP(A38,'Cuotas GNP p1 13'!$B$7:$E$35,3,FALSE)</f>
        <v>4.2725</v>
      </c>
      <c r="C41" s="46">
        <f>ROUND(A41*B41/100,2)</f>
        <v>5746.51</v>
      </c>
      <c r="D41" s="359">
        <f>VLOOKUP($B$14,'Cuotas GNP p1 13'!$B$7:$E$35,4,FALSE)</f>
        <v>2036.97</v>
      </c>
      <c r="E41" s="359">
        <f>C41+D41</f>
        <v>7783.4800000000005</v>
      </c>
      <c r="F41" s="256" t="s">
        <v>57</v>
      </c>
      <c r="G41" s="256">
        <f>$B$12/$B$12</f>
        <v>1</v>
      </c>
      <c r="H41" s="256">
        <f>INT(G41)</f>
        <v>1</v>
      </c>
      <c r="I41" s="256">
        <f>$B$12*H41</f>
        <v>12</v>
      </c>
      <c r="J41" s="256">
        <v>1</v>
      </c>
      <c r="K41" s="256">
        <f>VLOOKUP(I41,'FACTOR LP GNP p1 13'!$A$11:$B$70,2,FALSE)</f>
        <v>1</v>
      </c>
      <c r="L41" s="46">
        <f>ROUND(E41*K41,2)</f>
        <v>7783.48</v>
      </c>
      <c r="M41" s="46">
        <f>L41*$F$14</f>
        <v>2218.2917999999995</v>
      </c>
      <c r="N41" s="46">
        <f>$F$13</f>
        <v>450</v>
      </c>
      <c r="O41" s="46">
        <f>L41+N41</f>
        <v>8233.48</v>
      </c>
      <c r="P41" s="361">
        <v>0</v>
      </c>
      <c r="Q41" s="362">
        <f>O41*P41</f>
        <v>0</v>
      </c>
      <c r="R41" s="362">
        <f>Q41*$F$15</f>
        <v>0</v>
      </c>
      <c r="S41" s="46">
        <f>O41+Q41</f>
        <v>8233.48</v>
      </c>
      <c r="T41" s="46">
        <f>S41*0.16</f>
        <v>1317.3568</v>
      </c>
      <c r="U41" s="46">
        <f>S41+T41</f>
        <v>9550.8367999999991</v>
      </c>
      <c r="V41" s="247"/>
      <c r="W41" s="247"/>
      <c r="X41" s="255"/>
      <c r="Y41" s="259" t="s">
        <v>44</v>
      </c>
      <c r="Z41" s="258"/>
      <c r="AA41" s="256" t="s">
        <v>147</v>
      </c>
      <c r="AB41" s="255"/>
      <c r="AC41" s="259" t="s">
        <v>44</v>
      </c>
      <c r="AD41" s="256" t="s">
        <v>147</v>
      </c>
      <c r="AE41" s="255"/>
      <c r="AF41" s="255"/>
      <c r="AG41" s="255"/>
      <c r="AH41" s="255"/>
      <c r="AI41" s="255"/>
      <c r="AJ41" s="255"/>
      <c r="AK41" s="255"/>
      <c r="AL41" s="255"/>
      <c r="AM41" s="255"/>
      <c r="AN41" s="255"/>
      <c r="AO41" s="255"/>
      <c r="AP41" s="247"/>
      <c r="AQ41" s="247"/>
    </row>
    <row r="42" spans="1:43">
      <c r="Y42" s="261" t="s">
        <v>106</v>
      </c>
      <c r="Z42" s="254"/>
      <c r="AA42" s="250" t="s">
        <v>65</v>
      </c>
      <c r="AC42" s="261" t="s">
        <v>106</v>
      </c>
      <c r="AD42" s="252" t="s">
        <v>147</v>
      </c>
    </row>
    <row r="43" spans="1:43">
      <c r="Y43" s="253" t="s">
        <v>55</v>
      </c>
      <c r="Z43" s="254"/>
      <c r="AA43" s="252" t="s">
        <v>147</v>
      </c>
      <c r="AC43" s="253" t="s">
        <v>148</v>
      </c>
      <c r="AD43" s="252" t="s">
        <v>147</v>
      </c>
    </row>
    <row r="44" spans="1:43">
      <c r="Y44" s="250" t="s">
        <v>111</v>
      </c>
      <c r="AA44" s="250" t="s">
        <v>147</v>
      </c>
      <c r="AC44" s="250" t="s">
        <v>111</v>
      </c>
      <c r="AD44" s="250" t="s">
        <v>147</v>
      </c>
    </row>
    <row r="45" spans="1:43">
      <c r="Y45" s="250" t="s">
        <v>112</v>
      </c>
      <c r="Z45" s="250" t="s">
        <v>147</v>
      </c>
      <c r="AC45" s="250" t="s">
        <v>112</v>
      </c>
      <c r="AD45" s="250" t="s">
        <v>147</v>
      </c>
    </row>
  </sheetData>
  <sheetProtection password="F4F5" sheet="1" objects="1" scenarios="1" selectLockedCells="1" selectUnlockedCells="1"/>
  <mergeCells count="4">
    <mergeCell ref="A11:B11"/>
    <mergeCell ref="G29:H29"/>
    <mergeCell ref="A3:F3"/>
    <mergeCell ref="A7:B7"/>
  </mergeCells>
  <dataValidations count="1">
    <dataValidation type="list" allowBlank="1" showInputMessage="1" showErrorMessage="1" sqref="B13">
      <formula1>$X$13:$X$14</formula1>
    </dataValidation>
  </dataValidations>
  <printOptions horizontalCentered="1"/>
  <pageMargins left="0.39370078740157483" right="0.39370078740157483" top="0.98425196850393704" bottom="0.98425196850393704" header="0" footer="0"/>
  <pageSetup scale="84" orientation="portrait" r:id="rId1"/>
  <headerFooter alignWithMargins="0">
    <oddFooter>&amp;C&amp;F&amp;R&amp;D&amp;T</oddFooter>
  </headerFooter>
</worksheet>
</file>

<file path=xl/worksheets/sheet15.xml><?xml version="1.0" encoding="utf-8"?>
<worksheet xmlns="http://schemas.openxmlformats.org/spreadsheetml/2006/main" xmlns:r="http://schemas.openxmlformats.org/officeDocument/2006/relationships">
  <sheetPr codeName="Hoja14">
    <tabColor indexed="10"/>
    <pageSetUpPr fitToPage="1"/>
  </sheetPr>
  <dimension ref="A2:AG46"/>
  <sheetViews>
    <sheetView topLeftCell="AG16" workbookViewId="0">
      <selection activeCell="AF16" sqref="A1:AF65536"/>
    </sheetView>
  </sheetViews>
  <sheetFormatPr baseColWidth="10" defaultColWidth="9.33203125" defaultRowHeight="12.75"/>
  <cols>
    <col min="1" max="1" width="25.5" style="247" hidden="1" customWidth="1"/>
    <col min="2" max="2" width="22.5" style="247" hidden="1" customWidth="1"/>
    <col min="3" max="3" width="18.83203125" style="247" hidden="1" customWidth="1"/>
    <col min="4" max="4" width="24" style="247" hidden="1" customWidth="1"/>
    <col min="5" max="5" width="20.5" style="247" hidden="1" customWidth="1"/>
    <col min="6" max="6" width="18.83203125" style="247" hidden="1" customWidth="1"/>
    <col min="7" max="7" width="14" style="247" hidden="1" customWidth="1"/>
    <col min="8" max="8" width="3.5" style="247" hidden="1" customWidth="1"/>
    <col min="9" max="9" width="11.1640625" style="247" hidden="1" customWidth="1"/>
    <col min="10" max="10" width="16.83203125" style="251" hidden="1" customWidth="1"/>
    <col min="11" max="11" width="18.5" style="251" hidden="1" customWidth="1"/>
    <col min="12" max="12" width="15.1640625" style="251" hidden="1" customWidth="1"/>
    <col min="13" max="13" width="16.33203125" style="251" hidden="1" customWidth="1"/>
    <col min="14" max="14" width="16.83203125" style="251" hidden="1" customWidth="1"/>
    <col min="15" max="15" width="15.6640625" style="251" hidden="1" customWidth="1"/>
    <col min="16" max="16" width="14.83203125" style="251" hidden="1" customWidth="1"/>
    <col min="17" max="17" width="17.6640625" style="251" hidden="1" customWidth="1"/>
    <col min="18" max="18" width="12" style="251" hidden="1" customWidth="1"/>
    <col min="19" max="19" width="15.6640625" style="251" hidden="1" customWidth="1"/>
    <col min="20" max="20" width="14.33203125" style="251" hidden="1" customWidth="1"/>
    <col min="21" max="21" width="15.5" style="251" hidden="1" customWidth="1"/>
    <col min="22" max="23" width="12" style="251" hidden="1" customWidth="1"/>
    <col min="24" max="24" width="12" style="250" hidden="1" customWidth="1"/>
    <col min="25" max="25" width="25" style="250" hidden="1" customWidth="1"/>
    <col min="26" max="26" width="16.83203125" style="250" hidden="1" customWidth="1"/>
    <col min="27" max="28" width="12" style="250" hidden="1" customWidth="1"/>
    <col min="29" max="29" width="24.6640625" style="250" hidden="1" customWidth="1"/>
    <col min="30" max="32" width="9.33203125" style="250" hidden="1" customWidth="1"/>
    <col min="33" max="33" width="9.33203125" style="250" customWidth="1"/>
    <col min="34" max="16384" width="9.33203125" style="247"/>
  </cols>
  <sheetData>
    <row r="2" spans="1:32">
      <c r="A2" s="270"/>
    </row>
    <row r="3" spans="1:32" ht="19.5">
      <c r="A3" s="1002" t="s">
        <v>193</v>
      </c>
      <c r="B3" s="1002"/>
      <c r="C3" s="1002"/>
      <c r="D3" s="1002"/>
      <c r="E3" s="1002"/>
      <c r="F3" s="1002"/>
      <c r="U3" s="250"/>
      <c r="V3" s="250"/>
      <c r="W3" s="250"/>
    </row>
    <row r="4" spans="1:32">
      <c r="A4" s="270"/>
      <c r="U4" s="284">
        <v>38875</v>
      </c>
      <c r="V4" s="250"/>
      <c r="W4" s="250"/>
    </row>
    <row r="5" spans="1:32">
      <c r="A5" s="270"/>
      <c r="U5" s="284"/>
      <c r="V5" s="250"/>
      <c r="W5" s="250"/>
    </row>
    <row r="6" spans="1:32" ht="13.5" thickBot="1">
      <c r="A6" s="270"/>
      <c r="U6" s="284"/>
      <c r="V6" s="250"/>
      <c r="W6" s="250"/>
    </row>
    <row r="7" spans="1:32" ht="13.5" thickBot="1">
      <c r="A7" s="999" t="s">
        <v>164</v>
      </c>
      <c r="B7" s="1000"/>
      <c r="D7" s="256"/>
      <c r="E7" s="256"/>
      <c r="F7" s="256"/>
      <c r="G7" s="256"/>
      <c r="H7" s="256"/>
      <c r="I7" s="256"/>
      <c r="J7" s="252"/>
      <c r="U7" s="250"/>
      <c r="V7" s="250"/>
      <c r="W7" s="250"/>
    </row>
    <row r="8" spans="1:32">
      <c r="A8" s="280" t="s">
        <v>163</v>
      </c>
      <c r="B8" s="279"/>
      <c r="D8" s="256"/>
      <c r="E8" s="256"/>
      <c r="F8" s="256"/>
      <c r="G8" s="256"/>
      <c r="H8" s="256"/>
      <c r="I8" s="256"/>
      <c r="J8" s="252"/>
      <c r="U8" s="250"/>
      <c r="V8" s="250"/>
      <c r="W8" s="250"/>
    </row>
    <row r="9" spans="1:32" ht="13.5" thickBot="1">
      <c r="A9" s="274" t="s">
        <v>162</v>
      </c>
      <c r="B9" s="283"/>
      <c r="C9" s="248"/>
      <c r="D9" s="272"/>
      <c r="E9" s="272"/>
      <c r="F9" s="272"/>
      <c r="G9" s="272"/>
      <c r="H9" s="272"/>
      <c r="I9" s="272"/>
      <c r="J9" s="252"/>
      <c r="U9" s="250"/>
      <c r="V9" s="250"/>
      <c r="W9" s="250"/>
    </row>
    <row r="10" spans="1:32" ht="13.5" thickBot="1">
      <c r="C10" s="248"/>
      <c r="D10" s="272"/>
      <c r="E10" s="272"/>
      <c r="F10" s="272"/>
      <c r="G10" s="272"/>
      <c r="H10" s="272"/>
      <c r="I10" s="272"/>
      <c r="J10" s="252"/>
      <c r="U10" s="250"/>
      <c r="V10" s="250"/>
      <c r="W10" s="250"/>
    </row>
    <row r="11" spans="1:32" ht="13.5" thickBot="1">
      <c r="A11" s="999" t="s">
        <v>161</v>
      </c>
      <c r="B11" s="1000"/>
      <c r="C11" s="248"/>
      <c r="D11" s="282" t="s">
        <v>134</v>
      </c>
      <c r="E11" s="282"/>
      <c r="F11" s="282"/>
      <c r="G11" s="282"/>
      <c r="H11" s="282"/>
      <c r="I11" s="282"/>
      <c r="J11" s="281"/>
      <c r="U11" s="250"/>
      <c r="V11" s="250"/>
      <c r="W11" s="250"/>
    </row>
    <row r="12" spans="1:32">
      <c r="A12" s="280" t="s">
        <v>29</v>
      </c>
      <c r="B12" s="279">
        <f>Cotizador!AA8</f>
        <v>48</v>
      </c>
      <c r="C12" s="248"/>
      <c r="D12" s="272" t="s">
        <v>133</v>
      </c>
      <c r="E12" s="272"/>
      <c r="F12" s="278" t="s">
        <v>98</v>
      </c>
      <c r="G12" s="278"/>
      <c r="H12" s="278"/>
      <c r="I12" s="278"/>
      <c r="J12" s="277" t="s">
        <v>132</v>
      </c>
      <c r="U12" s="250"/>
      <c r="V12" s="250"/>
      <c r="W12" s="250"/>
      <c r="X12" s="250" t="s">
        <v>68</v>
      </c>
      <c r="Y12" s="250" t="s">
        <v>65</v>
      </c>
      <c r="Z12" s="250" t="s">
        <v>66</v>
      </c>
    </row>
    <row r="13" spans="1:32">
      <c r="A13" s="276" t="s">
        <v>68</v>
      </c>
      <c r="B13" s="275" t="s">
        <v>113</v>
      </c>
      <c r="C13" s="248"/>
      <c r="D13" s="272" t="s">
        <v>97</v>
      </c>
      <c r="E13" s="272"/>
      <c r="F13" s="211">
        <v>450</v>
      </c>
      <c r="G13" s="272"/>
      <c r="H13" s="272"/>
      <c r="I13" s="272"/>
      <c r="J13" s="260">
        <v>250</v>
      </c>
      <c r="U13" s="250"/>
      <c r="V13" s="250"/>
      <c r="W13" s="250"/>
      <c r="X13" s="250" t="s">
        <v>65</v>
      </c>
      <c r="Y13" s="253" t="s">
        <v>160</v>
      </c>
      <c r="Z13" s="261" t="s">
        <v>44</v>
      </c>
      <c r="AA13" s="250" t="s">
        <v>147</v>
      </c>
      <c r="AC13" s="261" t="s">
        <v>160</v>
      </c>
      <c r="AD13" s="250" t="s">
        <v>65</v>
      </c>
      <c r="AE13" s="253" t="s">
        <v>150</v>
      </c>
      <c r="AF13" s="252" t="s">
        <v>147</v>
      </c>
    </row>
    <row r="14" spans="1:32">
      <c r="A14" s="276" t="s">
        <v>67</v>
      </c>
      <c r="B14" s="275" t="str">
        <f>Cotizador!D9</f>
        <v>F-250</v>
      </c>
      <c r="C14" s="248"/>
      <c r="D14" s="272" t="s">
        <v>131</v>
      </c>
      <c r="E14" s="272"/>
      <c r="F14" s="51">
        <v>0.28499999999999998</v>
      </c>
      <c r="G14" s="272"/>
      <c r="H14" s="272"/>
      <c r="I14" s="272"/>
      <c r="J14" s="263">
        <v>0.28499999999999998</v>
      </c>
      <c r="U14" s="250"/>
      <c r="V14" s="250"/>
      <c r="W14" s="250"/>
      <c r="X14" s="250" t="s">
        <v>66</v>
      </c>
      <c r="Y14" s="253" t="s">
        <v>159</v>
      </c>
      <c r="Z14" s="261" t="s">
        <v>192</v>
      </c>
      <c r="AA14" s="250" t="s">
        <v>147</v>
      </c>
      <c r="AC14" s="261" t="s">
        <v>159</v>
      </c>
      <c r="AD14" s="250" t="s">
        <v>65</v>
      </c>
      <c r="AE14" s="253" t="s">
        <v>50</v>
      </c>
      <c r="AF14" s="252" t="s">
        <v>147</v>
      </c>
    </row>
    <row r="15" spans="1:32" ht="13.5" thickBot="1">
      <c r="A15" s="274" t="s">
        <v>72</v>
      </c>
      <c r="B15" s="273">
        <f>Cotizador!D17</f>
        <v>184100</v>
      </c>
      <c r="C15" s="248"/>
      <c r="D15" s="272" t="s">
        <v>130</v>
      </c>
      <c r="E15" s="272"/>
      <c r="F15" s="51"/>
      <c r="G15" s="272"/>
      <c r="H15" s="272"/>
      <c r="I15" s="272"/>
      <c r="J15" s="263">
        <v>0.28499999999999998</v>
      </c>
      <c r="U15" s="250"/>
      <c r="V15" s="250"/>
      <c r="W15" s="250"/>
      <c r="Y15" s="253" t="s">
        <v>122</v>
      </c>
      <c r="Z15" s="261" t="s">
        <v>150</v>
      </c>
      <c r="AA15" s="250" t="s">
        <v>147</v>
      </c>
      <c r="AC15" s="261" t="s">
        <v>20</v>
      </c>
      <c r="AD15" s="250" t="s">
        <v>65</v>
      </c>
      <c r="AE15" s="253" t="s">
        <v>52</v>
      </c>
      <c r="AF15" s="252" t="s">
        <v>147</v>
      </c>
    </row>
    <row r="16" spans="1:32">
      <c r="C16" s="248"/>
      <c r="D16" s="272" t="s">
        <v>127</v>
      </c>
      <c r="E16" s="272"/>
      <c r="F16" s="51">
        <v>1</v>
      </c>
      <c r="G16" s="272"/>
      <c r="H16" s="272"/>
      <c r="I16" s="272"/>
      <c r="J16" s="263">
        <v>0.1258</v>
      </c>
      <c r="U16" s="250"/>
      <c r="V16" s="250"/>
      <c r="W16" s="250"/>
      <c r="Y16" s="253" t="s">
        <v>22</v>
      </c>
      <c r="Z16" s="261" t="s">
        <v>50</v>
      </c>
      <c r="AA16" s="250" t="s">
        <v>147</v>
      </c>
      <c r="AC16" s="261" t="s">
        <v>22</v>
      </c>
      <c r="AD16" s="250" t="s">
        <v>65</v>
      </c>
      <c r="AE16" s="253" t="s">
        <v>149</v>
      </c>
      <c r="AF16" s="252" t="s">
        <v>147</v>
      </c>
    </row>
    <row r="17" spans="1:33">
      <c r="C17" s="248"/>
      <c r="D17" s="272" t="s">
        <v>125</v>
      </c>
      <c r="E17" s="272" t="s">
        <v>124</v>
      </c>
      <c r="F17" s="51">
        <v>1</v>
      </c>
      <c r="G17" s="272"/>
      <c r="H17" s="272"/>
      <c r="I17" s="272"/>
      <c r="J17" s="263">
        <v>-0.23100000000000001</v>
      </c>
      <c r="U17" s="250"/>
      <c r="V17" s="250"/>
      <c r="W17" s="250"/>
      <c r="Y17" s="253" t="s">
        <v>15</v>
      </c>
      <c r="Z17" s="261" t="s">
        <v>52</v>
      </c>
      <c r="AA17" s="250" t="s">
        <v>147</v>
      </c>
      <c r="AC17" s="261" t="s">
        <v>15</v>
      </c>
      <c r="AD17" s="250" t="s">
        <v>65</v>
      </c>
      <c r="AE17" s="253" t="s">
        <v>141</v>
      </c>
      <c r="AF17" s="252" t="s">
        <v>147</v>
      </c>
    </row>
    <row r="18" spans="1:33">
      <c r="D18" s="256"/>
      <c r="E18" s="256"/>
      <c r="F18" s="256"/>
      <c r="G18" s="256"/>
      <c r="H18" s="256"/>
      <c r="I18" s="256"/>
      <c r="J18" s="252"/>
      <c r="U18" s="250"/>
      <c r="V18" s="250"/>
      <c r="W18" s="250"/>
      <c r="Y18" s="253" t="s">
        <v>21</v>
      </c>
      <c r="Z18" s="253" t="s">
        <v>149</v>
      </c>
      <c r="AA18" s="250" t="s">
        <v>147</v>
      </c>
      <c r="AC18" s="261" t="s">
        <v>21</v>
      </c>
      <c r="AD18" s="250" t="s">
        <v>65</v>
      </c>
      <c r="AE18" s="253" t="s">
        <v>54</v>
      </c>
      <c r="AF18" s="252" t="s">
        <v>147</v>
      </c>
    </row>
    <row r="19" spans="1:33">
      <c r="A19" s="271" t="s">
        <v>158</v>
      </c>
      <c r="U19" s="250"/>
      <c r="V19" s="250"/>
      <c r="W19" s="250"/>
      <c r="Y19" s="253" t="s">
        <v>40</v>
      </c>
      <c r="Z19" s="253" t="s">
        <v>141</v>
      </c>
      <c r="AA19" s="250" t="s">
        <v>147</v>
      </c>
      <c r="AC19" s="261" t="s">
        <v>40</v>
      </c>
      <c r="AD19" s="250" t="s">
        <v>65</v>
      </c>
      <c r="AE19" s="253" t="s">
        <v>44</v>
      </c>
      <c r="AF19" s="252" t="s">
        <v>147</v>
      </c>
    </row>
    <row r="20" spans="1:33">
      <c r="U20" s="250"/>
      <c r="V20" s="250"/>
      <c r="W20" s="250"/>
      <c r="Y20" s="253" t="s">
        <v>104</v>
      </c>
      <c r="Z20" s="253" t="s">
        <v>54</v>
      </c>
      <c r="AA20" s="250" t="s">
        <v>147</v>
      </c>
      <c r="AC20" s="261" t="s">
        <v>104</v>
      </c>
      <c r="AD20" s="250" t="s">
        <v>65</v>
      </c>
      <c r="AE20" s="261" t="s">
        <v>106</v>
      </c>
      <c r="AF20" s="252" t="s">
        <v>147</v>
      </c>
    </row>
    <row r="21" spans="1:33">
      <c r="A21" s="270"/>
      <c r="B21" s="269" t="s">
        <v>57</v>
      </c>
      <c r="C21" s="269" t="s">
        <v>58</v>
      </c>
      <c r="D21" s="269" t="s">
        <v>59</v>
      </c>
      <c r="E21" s="269" t="s">
        <v>60</v>
      </c>
      <c r="F21" s="269" t="s">
        <v>61</v>
      </c>
      <c r="U21" s="250"/>
      <c r="V21" s="250"/>
      <c r="W21" s="250"/>
      <c r="Y21" s="253" t="s">
        <v>156</v>
      </c>
      <c r="Z21" s="261" t="s">
        <v>105</v>
      </c>
      <c r="AA21" s="250" t="s">
        <v>147</v>
      </c>
      <c r="AC21" s="261" t="s">
        <v>156</v>
      </c>
      <c r="AD21" s="250" t="s">
        <v>65</v>
      </c>
      <c r="AE21" s="253" t="s">
        <v>192</v>
      </c>
      <c r="AF21" s="252" t="s">
        <v>147</v>
      </c>
    </row>
    <row r="22" spans="1:33">
      <c r="A22" s="265" t="s">
        <v>73</v>
      </c>
      <c r="B22" s="267">
        <f>I30</f>
        <v>48</v>
      </c>
      <c r="C22" s="268">
        <f>I31</f>
        <v>48</v>
      </c>
      <c r="D22" s="268">
        <f>I32</f>
        <v>48</v>
      </c>
      <c r="E22" s="267">
        <f>I33</f>
        <v>48</v>
      </c>
      <c r="F22" s="267">
        <f>I34</f>
        <v>48</v>
      </c>
      <c r="K22" s="250"/>
      <c r="U22" s="250"/>
      <c r="V22" s="250"/>
      <c r="W22" s="250"/>
      <c r="Y22" s="253" t="s">
        <v>17</v>
      </c>
      <c r="Z22" s="253" t="s">
        <v>106</v>
      </c>
      <c r="AA22" s="250" t="s">
        <v>147</v>
      </c>
      <c r="AC22" s="261" t="s">
        <v>17</v>
      </c>
      <c r="AD22" s="250" t="s">
        <v>65</v>
      </c>
      <c r="AE22" s="250" t="s">
        <v>111</v>
      </c>
      <c r="AF22" s="250" t="s">
        <v>147</v>
      </c>
    </row>
    <row r="23" spans="1:33">
      <c r="A23" s="265" t="s">
        <v>69</v>
      </c>
      <c r="B23" s="265">
        <f>J30</f>
        <v>1</v>
      </c>
      <c r="C23" s="266">
        <f>J31</f>
        <v>4</v>
      </c>
      <c r="D23" s="266">
        <f>J32</f>
        <v>8</v>
      </c>
      <c r="E23" s="265">
        <f>J33</f>
        <v>16</v>
      </c>
      <c r="F23" s="265">
        <f>J34</f>
        <v>48</v>
      </c>
      <c r="U23" s="250"/>
      <c r="V23" s="250"/>
      <c r="W23" s="250"/>
      <c r="Y23" s="253" t="s">
        <v>155</v>
      </c>
      <c r="Z23" s="262"/>
      <c r="AA23" s="250" t="s">
        <v>65</v>
      </c>
      <c r="AC23" s="261" t="s">
        <v>78</v>
      </c>
      <c r="AD23" s="250" t="s">
        <v>65</v>
      </c>
      <c r="AE23" s="250" t="s">
        <v>112</v>
      </c>
      <c r="AF23" s="250" t="s">
        <v>147</v>
      </c>
    </row>
    <row r="24" spans="1:33">
      <c r="A24" s="265" t="s">
        <v>70</v>
      </c>
      <c r="B24" s="27">
        <f>U30</f>
        <v>55909.448000000004</v>
      </c>
      <c r="C24" s="56">
        <f>U31/J31</f>
        <v>16940.562744000003</v>
      </c>
      <c r="D24" s="56">
        <f>U32/J32</f>
        <v>8631.0210349999998</v>
      </c>
      <c r="E24" s="27">
        <f>U33/J33</f>
        <v>4399.3746895000004</v>
      </c>
      <c r="F24" s="27">
        <f>U34/J34</f>
        <v>1493.2481736666668</v>
      </c>
      <c r="K24" s="264"/>
      <c r="L24" s="264"/>
      <c r="M24" s="264"/>
      <c r="N24" s="264"/>
      <c r="O24" s="264"/>
      <c r="U24" s="250"/>
      <c r="V24" s="250"/>
      <c r="W24" s="250"/>
      <c r="Y24" s="261" t="s">
        <v>154</v>
      </c>
      <c r="Z24" s="262"/>
      <c r="AA24" s="250" t="s">
        <v>65</v>
      </c>
      <c r="AC24" s="261" t="s">
        <v>153</v>
      </c>
      <c r="AD24" s="250" t="s">
        <v>65</v>
      </c>
    </row>
    <row r="25" spans="1:33">
      <c r="A25" s="265" t="s">
        <v>71</v>
      </c>
      <c r="B25" s="27">
        <f>B24/J30</f>
        <v>55909.448000000004</v>
      </c>
      <c r="C25" s="56">
        <f>U31</f>
        <v>67762.25097600001</v>
      </c>
      <c r="D25" s="56">
        <f>U32</f>
        <v>69048.168279999998</v>
      </c>
      <c r="E25" s="27">
        <f>U33</f>
        <v>70389.995032000006</v>
      </c>
      <c r="F25" s="27">
        <f>U34</f>
        <v>71675.912336000009</v>
      </c>
      <c r="K25" s="264"/>
      <c r="L25" s="264"/>
      <c r="M25" s="264"/>
      <c r="N25" s="264"/>
      <c r="O25" s="264"/>
      <c r="U25" s="250"/>
      <c r="V25" s="250"/>
      <c r="W25" s="250"/>
      <c r="Y25" s="253" t="s">
        <v>1</v>
      </c>
      <c r="Z25" s="262"/>
      <c r="AA25" s="250" t="s">
        <v>65</v>
      </c>
      <c r="AC25" s="261" t="s">
        <v>1</v>
      </c>
      <c r="AD25" s="250" t="s">
        <v>65</v>
      </c>
    </row>
    <row r="26" spans="1:33" s="251" customFormat="1">
      <c r="U26" s="250"/>
      <c r="V26" s="250"/>
      <c r="W26" s="250"/>
      <c r="X26" s="250"/>
      <c r="Y26" s="253" t="s">
        <v>11</v>
      </c>
      <c r="Z26" s="262"/>
      <c r="AA26" s="250" t="s">
        <v>65</v>
      </c>
      <c r="AB26" s="250"/>
      <c r="AC26" s="261" t="s">
        <v>11</v>
      </c>
      <c r="AD26" s="250" t="s">
        <v>65</v>
      </c>
      <c r="AE26" s="250"/>
      <c r="AF26" s="250"/>
      <c r="AG26" s="250"/>
    </row>
    <row r="27" spans="1:33" s="252" customFormat="1">
      <c r="A27" s="252" t="s">
        <v>64</v>
      </c>
      <c r="B27" s="340" t="e">
        <f>ROUND($B$15*VLOOKUP($B$14,'Cuotas GNP p2 11 y 12'!$C$7:$E$21,3,FALSE)/100+VLOOKUP($B$14,'Cuotas GNP p2 11 y 12'!$C$7:$E$21,4,FALSE),2)</f>
        <v>#N/A</v>
      </c>
      <c r="Y27" s="253" t="s">
        <v>18</v>
      </c>
      <c r="Z27" s="262"/>
      <c r="AA27" s="250" t="s">
        <v>65</v>
      </c>
      <c r="AC27" s="261" t="s">
        <v>18</v>
      </c>
      <c r="AD27" s="250" t="s">
        <v>65</v>
      </c>
    </row>
    <row r="28" spans="1:33" s="252" customFormat="1">
      <c r="A28" s="254"/>
      <c r="B28" s="254"/>
      <c r="M28" s="263"/>
      <c r="R28" s="263"/>
      <c r="Y28" s="253" t="s">
        <v>152</v>
      </c>
      <c r="Z28" s="262"/>
      <c r="AA28" s="250" t="s">
        <v>65</v>
      </c>
      <c r="AC28" s="261" t="s">
        <v>9</v>
      </c>
      <c r="AD28" s="250" t="s">
        <v>65</v>
      </c>
    </row>
    <row r="29" spans="1:33" s="256" customFormat="1" ht="38.25">
      <c r="A29" s="358" t="s">
        <v>72</v>
      </c>
      <c r="B29" s="358" t="s">
        <v>91</v>
      </c>
      <c r="C29" s="358" t="s">
        <v>92</v>
      </c>
      <c r="D29" s="358" t="s">
        <v>93</v>
      </c>
      <c r="E29" s="358" t="s">
        <v>76</v>
      </c>
      <c r="F29" s="358" t="s">
        <v>94</v>
      </c>
      <c r="G29" s="1001" t="s">
        <v>77</v>
      </c>
      <c r="H29" s="1001"/>
      <c r="I29" s="358" t="s">
        <v>62</v>
      </c>
      <c r="J29" s="358" t="s">
        <v>63</v>
      </c>
      <c r="K29" s="358" t="s">
        <v>95</v>
      </c>
      <c r="L29" s="358" t="s">
        <v>76</v>
      </c>
      <c r="M29" s="358" t="s">
        <v>86</v>
      </c>
      <c r="N29" s="358" t="s">
        <v>96</v>
      </c>
      <c r="O29" s="358" t="s">
        <v>74</v>
      </c>
      <c r="P29" s="358" t="s">
        <v>75</v>
      </c>
      <c r="Q29" s="358" t="s">
        <v>87</v>
      </c>
      <c r="R29" s="358" t="s">
        <v>88</v>
      </c>
      <c r="S29" s="358" t="s">
        <v>89</v>
      </c>
      <c r="T29" s="358" t="s">
        <v>99</v>
      </c>
      <c r="U29" s="358" t="s">
        <v>100</v>
      </c>
      <c r="Y29" s="259" t="s">
        <v>7</v>
      </c>
      <c r="Z29" s="258"/>
      <c r="AA29" s="255" t="s">
        <v>65</v>
      </c>
      <c r="AC29" s="257" t="s">
        <v>7</v>
      </c>
      <c r="AD29" s="255" t="s">
        <v>65</v>
      </c>
    </row>
    <row r="30" spans="1:33" s="256" customFormat="1">
      <c r="A30" s="359">
        <f>$B$15</f>
        <v>184100</v>
      </c>
      <c r="B30" s="360">
        <f>VLOOKUP($B$14,'Cuotas GNP p2 11 y 12'!$B$7:$E$35,3,FALSE)</f>
        <v>5.3775000000000004</v>
      </c>
      <c r="C30" s="46">
        <f>ROUND(A30*B30/100,2)</f>
        <v>9899.98</v>
      </c>
      <c r="D30" s="359">
        <f>VLOOKUP($B$14,'Cuotas GNP p2 11 y 12'!$B$7:$E$35,4,FALSE)</f>
        <v>2036.97</v>
      </c>
      <c r="E30" s="359">
        <f>C30+D30</f>
        <v>11936.949999999999</v>
      </c>
      <c r="F30" s="256" t="s">
        <v>57</v>
      </c>
      <c r="G30" s="256">
        <f>$B$12/$B$12</f>
        <v>1</v>
      </c>
      <c r="H30" s="256">
        <f>INT(G30)</f>
        <v>1</v>
      </c>
      <c r="I30" s="256">
        <f>$B$12*H30</f>
        <v>48</v>
      </c>
      <c r="J30" s="256">
        <v>1</v>
      </c>
      <c r="K30" s="256">
        <f>VLOOKUP(I30,'FACTOR GNP LP p2 11 y 12'!$A$11:$B$70,2,FALSE)</f>
        <v>4</v>
      </c>
      <c r="L30" s="46">
        <f>ROUND(E30*K30,2)</f>
        <v>47747.8</v>
      </c>
      <c r="M30" s="46">
        <f>L30*$F$14</f>
        <v>13608.123</v>
      </c>
      <c r="N30" s="46">
        <f>$F$13</f>
        <v>450</v>
      </c>
      <c r="O30" s="46">
        <f>L30+N30</f>
        <v>48197.8</v>
      </c>
      <c r="P30" s="361">
        <v>0</v>
      </c>
      <c r="Q30" s="362">
        <f>O30*P30</f>
        <v>0</v>
      </c>
      <c r="R30" s="362">
        <f>Q30*$F$15</f>
        <v>0</v>
      </c>
      <c r="S30" s="46">
        <f>O30+Q30</f>
        <v>48197.8</v>
      </c>
      <c r="T30" s="46">
        <f>S30*0.16</f>
        <v>7711.648000000001</v>
      </c>
      <c r="U30" s="46">
        <f>S30+T30</f>
        <v>55909.448000000004</v>
      </c>
      <c r="Y30" s="259" t="s">
        <v>55</v>
      </c>
      <c r="Z30" s="258"/>
      <c r="AA30" s="255" t="s">
        <v>65</v>
      </c>
      <c r="AC30" s="257" t="s">
        <v>3</v>
      </c>
      <c r="AD30" s="255" t="s">
        <v>65</v>
      </c>
    </row>
    <row r="31" spans="1:33" s="256" customFormat="1">
      <c r="A31" s="359">
        <f>$B$15</f>
        <v>184100</v>
      </c>
      <c r="B31" s="360">
        <f>VLOOKUP($B$14,'Cuotas GNP p2 11 y 12'!$B$7:$E$35,3,FALSE)</f>
        <v>5.3775000000000004</v>
      </c>
      <c r="C31" s="46">
        <f>ROUND(A31*B31/100,2)</f>
        <v>9899.98</v>
      </c>
      <c r="D31" s="359">
        <f>VLOOKUP($B$14,'Cuotas GNP p2 11 y 12'!$B$7:$E$35,4,FALSE)</f>
        <v>2036.97</v>
      </c>
      <c r="E31" s="359">
        <f>C31+D31</f>
        <v>11936.949999999999</v>
      </c>
      <c r="F31" s="256" t="s">
        <v>58</v>
      </c>
      <c r="G31" s="256">
        <f>$B$12/12</f>
        <v>4</v>
      </c>
      <c r="H31" s="256">
        <f>INT(G31)</f>
        <v>4</v>
      </c>
      <c r="I31" s="256">
        <f>IF(H31-G31=0,H31*12,(H31+1)*12)</f>
        <v>48</v>
      </c>
      <c r="J31" s="256">
        <f>I31/12</f>
        <v>4</v>
      </c>
      <c r="K31" s="256">
        <f>VLOOKUP(I31,'FACTOR GNP LP p2 11 y 12'!$A$11:$B$70,2,FALSE)</f>
        <v>4</v>
      </c>
      <c r="L31" s="46">
        <f>ROUND(E31*K31,2)</f>
        <v>47747.8</v>
      </c>
      <c r="M31" s="46">
        <f>L31*$F$14</f>
        <v>13608.123</v>
      </c>
      <c r="N31" s="46">
        <f>$F$13</f>
        <v>450</v>
      </c>
      <c r="O31" s="46">
        <f>L31+N31</f>
        <v>48197.8</v>
      </c>
      <c r="P31" s="361">
        <f>VLOOKUP(J31,'RECARGO P FRACC GNP p2 11 y 12'!$B$15:$F$74,2,FALSE)</f>
        <v>0.21199999999999999</v>
      </c>
      <c r="Q31" s="362">
        <f>O31*P31</f>
        <v>10217.9336</v>
      </c>
      <c r="R31" s="362">
        <f>Q31*$F$15</f>
        <v>0</v>
      </c>
      <c r="S31" s="46">
        <f>O31+Q31</f>
        <v>58415.733600000007</v>
      </c>
      <c r="T31" s="46">
        <f>S31*0.16</f>
        <v>9346.5173760000016</v>
      </c>
      <c r="U31" s="46">
        <f>S31+T31</f>
        <v>67762.25097600001</v>
      </c>
      <c r="Y31" s="259" t="s">
        <v>151</v>
      </c>
      <c r="Z31" s="258"/>
      <c r="AA31" s="255" t="s">
        <v>65</v>
      </c>
      <c r="AC31" s="257" t="s">
        <v>4</v>
      </c>
      <c r="AD31" s="255" t="s">
        <v>65</v>
      </c>
    </row>
    <row r="32" spans="1:33" s="256" customFormat="1">
      <c r="A32" s="359">
        <f>$B$15</f>
        <v>184100</v>
      </c>
      <c r="B32" s="360">
        <f>VLOOKUP($B$14,'Cuotas GNP p2 11 y 12'!$B$7:$E$35,3,FALSE)</f>
        <v>5.3775000000000004</v>
      </c>
      <c r="C32" s="46">
        <f>ROUND(A32*B32/100,2)</f>
        <v>9899.98</v>
      </c>
      <c r="D32" s="359">
        <f>VLOOKUP($B$14,'Cuotas GNP p2 11 y 12'!$B$7:$E$35,4,FALSE)</f>
        <v>2036.97</v>
      </c>
      <c r="E32" s="359">
        <f>C32+D32</f>
        <v>11936.949999999999</v>
      </c>
      <c r="F32" s="256" t="s">
        <v>59</v>
      </c>
      <c r="G32" s="256">
        <f>IF($B$12/6&lt;=1,"",$B$12/6)</f>
        <v>8</v>
      </c>
      <c r="H32" s="256">
        <f>INT(G32)</f>
        <v>8</v>
      </c>
      <c r="I32" s="256">
        <f>IF(H32-G32=0,H32*6,(H32+1)*6)</f>
        <v>48</v>
      </c>
      <c r="J32" s="256">
        <f>I32/6</f>
        <v>8</v>
      </c>
      <c r="K32" s="256">
        <f>VLOOKUP(I32,'FACTOR GNP LP p2 11 y 12'!$A$11:$B$70,2,FALSE)</f>
        <v>4</v>
      </c>
      <c r="L32" s="46">
        <f>ROUND(E32*K32,2)</f>
        <v>47747.8</v>
      </c>
      <c r="M32" s="46">
        <f>L32*$F$14</f>
        <v>13608.123</v>
      </c>
      <c r="N32" s="46">
        <f>$F$13</f>
        <v>450</v>
      </c>
      <c r="O32" s="46">
        <f>L32+N32</f>
        <v>48197.8</v>
      </c>
      <c r="P32" s="361">
        <f>VLOOKUP(J32,'RECARGO P FRACC GNP p2 11 y 12'!$B$15:$F$74,3,FALSE)</f>
        <v>0.23499999999999999</v>
      </c>
      <c r="Q32" s="362">
        <f>O32*P32</f>
        <v>11326.483</v>
      </c>
      <c r="R32" s="362">
        <f>Q32*$F$15</f>
        <v>0</v>
      </c>
      <c r="S32" s="46">
        <f>O32+Q32</f>
        <v>59524.283000000003</v>
      </c>
      <c r="T32" s="46">
        <f>S32*0.16</f>
        <v>9523.8852800000004</v>
      </c>
      <c r="U32" s="46">
        <f>S32+T32</f>
        <v>69048.168279999998</v>
      </c>
      <c r="Y32" s="259" t="s">
        <v>114</v>
      </c>
      <c r="Z32" s="258"/>
      <c r="AA32" s="255" t="s">
        <v>65</v>
      </c>
      <c r="AC32" s="257" t="s">
        <v>42</v>
      </c>
      <c r="AD32" s="256" t="s">
        <v>147</v>
      </c>
    </row>
    <row r="33" spans="1:33" s="256" customFormat="1">
      <c r="A33" s="359">
        <f>$B$15</f>
        <v>184100</v>
      </c>
      <c r="B33" s="360">
        <f>VLOOKUP($B$14,'Cuotas GNP p2 11 y 12'!$B$7:$E$35,3,FALSE)</f>
        <v>5.3775000000000004</v>
      </c>
      <c r="C33" s="46">
        <f>ROUND(A33*B33/100,2)</f>
        <v>9899.98</v>
      </c>
      <c r="D33" s="359">
        <f>VLOOKUP($B$14,'Cuotas GNP p2 11 y 12'!$B$7:$E$35,4,FALSE)</f>
        <v>2036.97</v>
      </c>
      <c r="E33" s="359">
        <f>C33+D33</f>
        <v>11936.949999999999</v>
      </c>
      <c r="F33" s="256" t="s">
        <v>60</v>
      </c>
      <c r="G33" s="256">
        <f>IF($B$12/3&lt;=3,"",$B$12/3)</f>
        <v>16</v>
      </c>
      <c r="H33" s="256">
        <f>INT(G33)</f>
        <v>16</v>
      </c>
      <c r="I33" s="256">
        <f>IF(H33-G33=0,H33*3,(H33+1)*3)</f>
        <v>48</v>
      </c>
      <c r="J33" s="256">
        <f>I33/3</f>
        <v>16</v>
      </c>
      <c r="K33" s="256">
        <f>VLOOKUP(I33,'FACTOR GNP LP p2 11 y 12'!$A$11:$B$70,2,FALSE)</f>
        <v>4</v>
      </c>
      <c r="L33" s="46">
        <f>ROUND(E33*K33,2)</f>
        <v>47747.8</v>
      </c>
      <c r="M33" s="46">
        <f>L33*$F$14</f>
        <v>13608.123</v>
      </c>
      <c r="N33" s="46">
        <f>$F$13</f>
        <v>450</v>
      </c>
      <c r="O33" s="46">
        <f>L33+N33</f>
        <v>48197.8</v>
      </c>
      <c r="P33" s="361">
        <f>VLOOKUP(J33,'RECARGO P FRACC GNP p2 11 y 12'!$B$15:$F$74,4,FALSE)</f>
        <v>0.25900000000000001</v>
      </c>
      <c r="Q33" s="362">
        <f>O33*P33</f>
        <v>12483.230200000002</v>
      </c>
      <c r="R33" s="362">
        <f>Q33*$F$15</f>
        <v>0</v>
      </c>
      <c r="S33" s="46">
        <f>O33+Q33</f>
        <v>60681.030200000008</v>
      </c>
      <c r="T33" s="46">
        <f>S33*0.16</f>
        <v>9708.9648320000015</v>
      </c>
      <c r="U33" s="46">
        <f>S33+T33</f>
        <v>70389.995032000006</v>
      </c>
      <c r="Y33" s="257" t="s">
        <v>105</v>
      </c>
      <c r="Z33" s="258"/>
      <c r="AA33" s="255" t="s">
        <v>65</v>
      </c>
      <c r="AC33" s="257" t="s">
        <v>105</v>
      </c>
      <c r="AD33" s="255" t="s">
        <v>65</v>
      </c>
    </row>
    <row r="34" spans="1:33" s="256" customFormat="1">
      <c r="A34" s="359">
        <f>$B$15</f>
        <v>184100</v>
      </c>
      <c r="B34" s="360">
        <f>VLOOKUP($B$14,'Cuotas GNP p2 11 y 12'!$B$7:$E$35,3,FALSE)</f>
        <v>5.3775000000000004</v>
      </c>
      <c r="C34" s="46">
        <f>ROUND(A34*B34/100,2)</f>
        <v>9899.98</v>
      </c>
      <c r="D34" s="359">
        <f>VLOOKUP($B$14,'Cuotas GNP p2 11 y 12'!$B$7:$E$35,4,FALSE)</f>
        <v>2036.97</v>
      </c>
      <c r="E34" s="359">
        <f>C34+D34</f>
        <v>11936.949999999999</v>
      </c>
      <c r="F34" s="256" t="s">
        <v>61</v>
      </c>
      <c r="G34" s="256">
        <f>IF($B$12/1&lt;12,"",$B$12/1)</f>
        <v>48</v>
      </c>
      <c r="H34" s="256">
        <f>INT(G34)</f>
        <v>48</v>
      </c>
      <c r="I34" s="256">
        <f>H34*1</f>
        <v>48</v>
      </c>
      <c r="J34" s="256">
        <f>I34/1</f>
        <v>48</v>
      </c>
      <c r="K34" s="256">
        <f>VLOOKUP(I34,'FACTOR GNP LP p2 11 y 12'!$A$11:$B$70,2,FALSE)</f>
        <v>4</v>
      </c>
      <c r="L34" s="46">
        <f>ROUND(E34*K34,2)</f>
        <v>47747.8</v>
      </c>
      <c r="M34" s="46">
        <f>L34*$F$14</f>
        <v>13608.123</v>
      </c>
      <c r="N34" s="46">
        <f>$F$13</f>
        <v>450</v>
      </c>
      <c r="O34" s="46">
        <f>L34+N34</f>
        <v>48197.8</v>
      </c>
      <c r="P34" s="361">
        <f>VLOOKUP(J34,'RECARGO P FRACC GNP p2 11 y 12'!$B$15:$F$74,5,FALSE)</f>
        <v>0.28199999999999997</v>
      </c>
      <c r="Q34" s="362">
        <f>O34*P34</f>
        <v>13591.7796</v>
      </c>
      <c r="R34" s="362">
        <f>Q34*$F$15</f>
        <v>0</v>
      </c>
      <c r="S34" s="46">
        <f>O34+Q34</f>
        <v>61789.579600000005</v>
      </c>
      <c r="T34" s="46">
        <f>S34*0.16</f>
        <v>9886.3327360000003</v>
      </c>
      <c r="U34" s="46">
        <f>S34+T34</f>
        <v>71675.912336000009</v>
      </c>
      <c r="Y34" s="259" t="s">
        <v>150</v>
      </c>
      <c r="Z34" s="258"/>
      <c r="AA34" s="256" t="s">
        <v>147</v>
      </c>
      <c r="AC34" s="259" t="s">
        <v>150</v>
      </c>
      <c r="AD34" s="256" t="s">
        <v>147</v>
      </c>
    </row>
    <row r="35" spans="1:33" s="256" customFormat="1">
      <c r="A35" s="359"/>
      <c r="B35" s="360"/>
      <c r="C35" s="46"/>
      <c r="D35" s="359"/>
      <c r="E35" s="359"/>
      <c r="L35" s="46"/>
      <c r="M35" s="46"/>
      <c r="N35" s="46"/>
      <c r="O35" s="46"/>
      <c r="P35" s="361"/>
      <c r="Q35" s="362"/>
      <c r="R35" s="362"/>
      <c r="S35" s="46"/>
      <c r="T35" s="46"/>
      <c r="U35" s="46"/>
      <c r="Y35" s="259" t="s">
        <v>50</v>
      </c>
      <c r="Z35" s="255"/>
      <c r="AA35" s="256" t="s">
        <v>147</v>
      </c>
      <c r="AC35" s="259" t="s">
        <v>50</v>
      </c>
      <c r="AD35" s="256" t="s">
        <v>147</v>
      </c>
    </row>
    <row r="36" spans="1:33">
      <c r="J36" s="247"/>
      <c r="K36" s="247"/>
      <c r="L36" s="247"/>
      <c r="M36" s="247"/>
      <c r="N36" s="247"/>
      <c r="O36" s="247"/>
      <c r="P36" s="247"/>
      <c r="Q36" s="247"/>
      <c r="R36" s="247"/>
      <c r="S36" s="247"/>
      <c r="T36" s="247"/>
      <c r="U36" s="255"/>
      <c r="V36" s="255"/>
      <c r="W36" s="255"/>
      <c r="X36" s="255"/>
      <c r="Y36" s="255" t="s">
        <v>46</v>
      </c>
      <c r="Z36" s="255"/>
      <c r="AA36" s="255" t="s">
        <v>147</v>
      </c>
      <c r="AB36" s="255"/>
      <c r="AC36" s="255" t="s">
        <v>46</v>
      </c>
      <c r="AD36" s="256" t="s">
        <v>147</v>
      </c>
      <c r="AE36" s="255"/>
      <c r="AF36" s="255"/>
      <c r="AG36" s="255"/>
    </row>
    <row r="37" spans="1:33">
      <c r="J37" s="247"/>
      <c r="K37" s="247"/>
      <c r="L37" s="247"/>
      <c r="M37" s="247"/>
      <c r="N37" s="247"/>
      <c r="O37" s="247"/>
      <c r="P37" s="247"/>
      <c r="Q37" s="247"/>
      <c r="R37" s="247"/>
      <c r="S37" s="247"/>
      <c r="T37" s="247"/>
      <c r="U37" s="247"/>
      <c r="V37" s="247"/>
      <c r="W37" s="247"/>
      <c r="X37" s="255"/>
      <c r="Y37" s="259" t="s">
        <v>52</v>
      </c>
      <c r="Z37" s="255"/>
      <c r="AA37" s="256" t="s">
        <v>147</v>
      </c>
      <c r="AB37" s="255"/>
      <c r="AC37" s="259" t="s">
        <v>52</v>
      </c>
      <c r="AD37" s="256" t="s">
        <v>147</v>
      </c>
      <c r="AE37" s="255"/>
      <c r="AF37" s="255"/>
      <c r="AG37" s="255"/>
    </row>
    <row r="38" spans="1:33">
      <c r="J38" s="247"/>
      <c r="K38" s="247"/>
      <c r="L38" s="247"/>
      <c r="M38" s="247"/>
      <c r="N38" s="247"/>
      <c r="O38" s="247"/>
      <c r="P38" s="247"/>
      <c r="Q38" s="247"/>
      <c r="R38" s="247"/>
      <c r="S38" s="247"/>
      <c r="T38" s="247"/>
      <c r="U38" s="247"/>
      <c r="V38" s="247"/>
      <c r="W38" s="247"/>
      <c r="X38" s="255"/>
      <c r="Y38" s="259" t="s">
        <v>149</v>
      </c>
      <c r="Z38" s="255"/>
      <c r="AA38" s="256" t="s">
        <v>147</v>
      </c>
      <c r="AB38" s="255"/>
      <c r="AC38" s="259" t="s">
        <v>149</v>
      </c>
      <c r="AD38" s="256" t="s">
        <v>147</v>
      </c>
      <c r="AE38" s="255"/>
      <c r="AF38" s="255"/>
      <c r="AG38" s="255"/>
    </row>
    <row r="39" spans="1:33">
      <c r="J39" s="247"/>
      <c r="K39" s="247"/>
      <c r="L39" s="247"/>
      <c r="M39" s="247"/>
      <c r="N39" s="247"/>
      <c r="O39" s="247"/>
      <c r="P39" s="247"/>
      <c r="Q39" s="247"/>
      <c r="R39" s="247"/>
      <c r="S39" s="247"/>
      <c r="T39" s="247"/>
      <c r="U39" s="247"/>
      <c r="V39" s="247"/>
      <c r="W39" s="247"/>
      <c r="X39" s="255"/>
      <c r="Y39" s="259" t="s">
        <v>141</v>
      </c>
      <c r="Z39" s="255"/>
      <c r="AA39" s="256" t="s">
        <v>147</v>
      </c>
      <c r="AB39" s="255"/>
      <c r="AC39" s="259" t="s">
        <v>141</v>
      </c>
      <c r="AD39" s="256" t="s">
        <v>147</v>
      </c>
      <c r="AE39" s="255"/>
      <c r="AF39" s="255"/>
      <c r="AG39" s="255"/>
    </row>
    <row r="40" spans="1:33">
      <c r="J40" s="247"/>
      <c r="K40" s="247"/>
      <c r="L40" s="247"/>
      <c r="M40" s="247"/>
      <c r="N40" s="247"/>
      <c r="O40" s="247"/>
      <c r="P40" s="247"/>
      <c r="Q40" s="247"/>
      <c r="R40" s="247"/>
      <c r="S40" s="247"/>
      <c r="T40" s="247"/>
      <c r="U40" s="247"/>
      <c r="V40" s="247"/>
      <c r="W40" s="247"/>
      <c r="X40" s="255"/>
      <c r="Y40" s="259" t="s">
        <v>54</v>
      </c>
      <c r="Z40" s="255"/>
      <c r="AA40" s="256" t="s">
        <v>147</v>
      </c>
      <c r="AB40" s="255"/>
      <c r="AC40" s="259" t="s">
        <v>54</v>
      </c>
      <c r="AD40" s="256" t="s">
        <v>147</v>
      </c>
      <c r="AE40" s="255"/>
      <c r="AF40" s="255"/>
      <c r="AG40" s="255"/>
    </row>
    <row r="41" spans="1:33">
      <c r="J41" s="247"/>
      <c r="K41" s="247"/>
      <c r="L41" s="247"/>
      <c r="M41" s="247"/>
      <c r="N41" s="247"/>
      <c r="O41" s="247"/>
      <c r="P41" s="247"/>
      <c r="Q41" s="247"/>
      <c r="R41" s="247"/>
      <c r="S41" s="247"/>
      <c r="T41" s="247"/>
      <c r="U41" s="247"/>
      <c r="V41" s="247"/>
      <c r="W41" s="247"/>
      <c r="X41" s="255"/>
      <c r="Y41" s="259" t="s">
        <v>44</v>
      </c>
      <c r="Z41" s="258"/>
      <c r="AA41" s="256" t="s">
        <v>147</v>
      </c>
      <c r="AB41" s="255"/>
      <c r="AC41" s="259" t="s">
        <v>44</v>
      </c>
      <c r="AD41" s="256" t="s">
        <v>147</v>
      </c>
      <c r="AE41" s="255"/>
      <c r="AF41" s="255"/>
      <c r="AG41" s="255"/>
    </row>
    <row r="42" spans="1:33">
      <c r="J42" s="247"/>
      <c r="K42" s="247"/>
      <c r="L42" s="247"/>
      <c r="M42" s="247"/>
      <c r="N42" s="247"/>
      <c r="O42" s="247"/>
      <c r="P42" s="247"/>
      <c r="Q42" s="247"/>
      <c r="R42" s="247"/>
      <c r="S42" s="247"/>
      <c r="T42" s="247"/>
      <c r="U42" s="247"/>
      <c r="V42" s="247"/>
      <c r="W42" s="247"/>
      <c r="X42" s="255"/>
      <c r="Y42" s="257" t="s">
        <v>106</v>
      </c>
      <c r="Z42" s="258"/>
      <c r="AA42" s="255" t="s">
        <v>65</v>
      </c>
      <c r="AB42" s="255"/>
      <c r="AC42" s="257" t="s">
        <v>106</v>
      </c>
      <c r="AD42" s="256" t="s">
        <v>147</v>
      </c>
      <c r="AE42" s="255"/>
      <c r="AF42" s="255"/>
      <c r="AG42" s="255"/>
    </row>
    <row r="43" spans="1:33">
      <c r="J43" s="247"/>
      <c r="K43" s="247"/>
      <c r="L43" s="247"/>
      <c r="M43" s="247"/>
      <c r="N43" s="247"/>
      <c r="O43" s="247"/>
      <c r="P43" s="247"/>
      <c r="Q43" s="247"/>
      <c r="R43" s="247"/>
      <c r="S43" s="247"/>
      <c r="T43" s="247"/>
      <c r="U43" s="247"/>
      <c r="V43" s="247"/>
      <c r="W43" s="247"/>
      <c r="X43" s="255"/>
      <c r="Y43" s="259" t="s">
        <v>148</v>
      </c>
      <c r="Z43" s="258"/>
      <c r="AA43" s="256" t="s">
        <v>147</v>
      </c>
      <c r="AB43" s="255"/>
      <c r="AC43" s="259" t="s">
        <v>192</v>
      </c>
      <c r="AD43" s="256" t="s">
        <v>147</v>
      </c>
      <c r="AE43" s="255"/>
      <c r="AF43" s="255"/>
      <c r="AG43" s="255"/>
    </row>
    <row r="44" spans="1:33">
      <c r="J44" s="247"/>
      <c r="K44" s="247"/>
      <c r="L44" s="247"/>
      <c r="M44" s="247"/>
      <c r="N44" s="247"/>
      <c r="O44" s="247"/>
      <c r="P44" s="247"/>
      <c r="Q44" s="247"/>
      <c r="R44" s="247"/>
      <c r="S44" s="247"/>
      <c r="T44" s="247"/>
      <c r="U44" s="247"/>
      <c r="V44" s="247"/>
      <c r="W44" s="247"/>
      <c r="X44" s="255"/>
      <c r="Y44" s="255" t="s">
        <v>111</v>
      </c>
      <c r="Z44" s="255"/>
      <c r="AA44" s="255" t="s">
        <v>147</v>
      </c>
      <c r="AB44" s="255"/>
      <c r="AC44" s="255" t="s">
        <v>111</v>
      </c>
      <c r="AD44" s="255" t="s">
        <v>147</v>
      </c>
      <c r="AE44" s="255"/>
      <c r="AF44" s="255"/>
      <c r="AG44" s="255"/>
    </row>
    <row r="45" spans="1:33">
      <c r="J45" s="247"/>
      <c r="K45" s="247"/>
      <c r="L45" s="247"/>
      <c r="M45" s="247"/>
      <c r="N45" s="247"/>
      <c r="O45" s="247"/>
      <c r="P45" s="247"/>
      <c r="Q45" s="247"/>
      <c r="R45" s="247"/>
      <c r="S45" s="247"/>
      <c r="T45" s="247"/>
      <c r="U45" s="247"/>
      <c r="V45" s="247"/>
      <c r="W45" s="247"/>
      <c r="X45" s="255"/>
      <c r="Y45" s="255" t="s">
        <v>112</v>
      </c>
      <c r="Z45" s="255" t="s">
        <v>147</v>
      </c>
      <c r="AA45" s="255"/>
      <c r="AB45" s="255"/>
      <c r="AC45" s="255" t="s">
        <v>112</v>
      </c>
      <c r="AD45" s="255" t="s">
        <v>147</v>
      </c>
      <c r="AE45" s="255"/>
      <c r="AF45" s="255"/>
      <c r="AG45" s="255"/>
    </row>
    <row r="46" spans="1:33">
      <c r="J46" s="247"/>
      <c r="K46" s="247"/>
      <c r="L46" s="247"/>
      <c r="M46" s="247"/>
      <c r="N46" s="247"/>
      <c r="O46" s="247"/>
      <c r="P46" s="247"/>
      <c r="Q46" s="247"/>
      <c r="R46" s="247"/>
      <c r="S46" s="247"/>
      <c r="T46" s="247"/>
      <c r="U46" s="247"/>
      <c r="V46" s="247"/>
      <c r="W46" s="247"/>
      <c r="X46" s="255"/>
      <c r="Y46" s="255"/>
      <c r="Z46" s="255"/>
      <c r="AA46" s="255"/>
      <c r="AB46" s="255"/>
      <c r="AC46" s="255"/>
      <c r="AD46" s="255"/>
      <c r="AE46" s="255"/>
      <c r="AF46" s="255"/>
      <c r="AG46" s="255"/>
    </row>
  </sheetData>
  <sheetProtection password="F4F5" sheet="1" objects="1" scenarios="1" selectLockedCells="1" selectUnlockedCells="1"/>
  <mergeCells count="4">
    <mergeCell ref="A11:B11"/>
    <mergeCell ref="G29:H29"/>
    <mergeCell ref="A3:F3"/>
    <mergeCell ref="A7:B7"/>
  </mergeCells>
  <dataValidations count="1">
    <dataValidation type="list" allowBlank="1" showInputMessage="1" showErrorMessage="1" sqref="B13">
      <formula1>$X$13:$X$14</formula1>
    </dataValidation>
  </dataValidations>
  <printOptions horizontalCentered="1"/>
  <pageMargins left="0.39370078740157483" right="0.39370078740157483" top="0.98425196850393704" bottom="0.98425196850393704" header="0" footer="0"/>
  <pageSetup scale="74" orientation="portrait" r:id="rId1"/>
  <headerFooter alignWithMargins="0">
    <oddFooter>&amp;C&amp;F&amp;R&amp;D&amp;T</oddFooter>
  </headerFooter>
</worksheet>
</file>

<file path=xl/worksheets/sheet16.xml><?xml version="1.0" encoding="utf-8"?>
<worksheet xmlns="http://schemas.openxmlformats.org/spreadsheetml/2006/main" xmlns:r="http://schemas.openxmlformats.org/officeDocument/2006/relationships">
  <sheetPr codeName="Hoja15">
    <tabColor indexed="10"/>
    <pageSetUpPr fitToPage="1"/>
  </sheetPr>
  <dimension ref="A2:AI45"/>
  <sheetViews>
    <sheetView topLeftCell="AH1" workbookViewId="0">
      <selection activeCell="AG1" sqref="A1:AG65536"/>
    </sheetView>
  </sheetViews>
  <sheetFormatPr baseColWidth="10" defaultColWidth="9.33203125" defaultRowHeight="12.75"/>
  <cols>
    <col min="1" max="1" width="25.5" style="247" hidden="1" customWidth="1"/>
    <col min="2" max="2" width="22.5" style="247" hidden="1" customWidth="1"/>
    <col min="3" max="3" width="18.83203125" style="247" hidden="1" customWidth="1"/>
    <col min="4" max="4" width="24" style="247" hidden="1" customWidth="1"/>
    <col min="5" max="5" width="20.5" style="247" hidden="1" customWidth="1"/>
    <col min="6" max="6" width="18.83203125" style="247" hidden="1" customWidth="1"/>
    <col min="7" max="7" width="14" style="247" hidden="1" customWidth="1"/>
    <col min="8" max="8" width="3.5" style="247" hidden="1" customWidth="1"/>
    <col min="9" max="9" width="11.1640625" style="247" hidden="1" customWidth="1"/>
    <col min="10" max="10" width="10.6640625" style="251" hidden="1" customWidth="1"/>
    <col min="11" max="11" width="18" style="251" hidden="1" customWidth="1"/>
    <col min="12" max="13" width="12.33203125" style="251" hidden="1" customWidth="1"/>
    <col min="14" max="14" width="9.33203125" style="251" hidden="1" customWidth="1"/>
    <col min="15" max="15" width="12.33203125" style="251" hidden="1" customWidth="1"/>
    <col min="16" max="16" width="12.1640625" style="251" hidden="1" customWidth="1"/>
    <col min="17" max="17" width="12.83203125" style="251" hidden="1" customWidth="1"/>
    <col min="18" max="18" width="8.5" style="251" hidden="1" customWidth="1"/>
    <col min="19" max="19" width="15.1640625" style="251" hidden="1" customWidth="1"/>
    <col min="20" max="20" width="12.33203125" style="251" hidden="1" customWidth="1"/>
    <col min="21" max="21" width="13.6640625" style="251" hidden="1" customWidth="1"/>
    <col min="22" max="23" width="12" style="251" hidden="1" customWidth="1"/>
    <col min="24" max="24" width="8.33203125" style="250" hidden="1" customWidth="1"/>
    <col min="25" max="25" width="22.33203125" style="250" hidden="1" customWidth="1"/>
    <col min="26" max="26" width="22.1640625" style="250" hidden="1" customWidth="1"/>
    <col min="27" max="27" width="8.33203125" style="250" hidden="1" customWidth="1"/>
    <col min="28" max="28" width="12" style="250" hidden="1" customWidth="1"/>
    <col min="29" max="29" width="22.33203125" style="250" hidden="1" customWidth="1"/>
    <col min="30" max="30" width="8.33203125" style="250" hidden="1" customWidth="1"/>
    <col min="31" max="31" width="22.33203125" style="250" hidden="1" customWidth="1"/>
    <col min="32" max="33" width="9.33203125" style="250" hidden="1" customWidth="1"/>
    <col min="34" max="35" width="9.33203125" style="251" customWidth="1"/>
    <col min="36" max="16384" width="9.33203125" style="247"/>
  </cols>
  <sheetData>
    <row r="2" spans="1:32">
      <c r="A2" s="270"/>
    </row>
    <row r="3" spans="1:32" ht="19.5">
      <c r="A3" s="1002" t="s">
        <v>194</v>
      </c>
      <c r="B3" s="1002"/>
      <c r="C3" s="1002"/>
      <c r="D3" s="1002"/>
      <c r="E3" s="1002"/>
      <c r="F3" s="1002"/>
      <c r="U3" s="250"/>
      <c r="V3" s="250"/>
      <c r="W3" s="250"/>
    </row>
    <row r="4" spans="1:32">
      <c r="A4" s="270"/>
      <c r="U4" s="284">
        <v>38875</v>
      </c>
      <c r="V4" s="250"/>
      <c r="W4" s="250"/>
    </row>
    <row r="5" spans="1:32">
      <c r="A5" s="270"/>
      <c r="U5" s="284"/>
      <c r="V5" s="250"/>
      <c r="W5" s="250"/>
    </row>
    <row r="6" spans="1:32" ht="13.5" thickBot="1">
      <c r="A6" s="270"/>
      <c r="U6" s="284"/>
      <c r="V6" s="250"/>
      <c r="W6" s="250"/>
    </row>
    <row r="7" spans="1:32" ht="13.5" thickBot="1">
      <c r="A7" s="999" t="s">
        <v>164</v>
      </c>
      <c r="B7" s="1000"/>
      <c r="D7" s="256"/>
      <c r="E7" s="256"/>
      <c r="F7" s="256"/>
      <c r="G7" s="256"/>
      <c r="H7" s="256"/>
      <c r="I7" s="256"/>
      <c r="J7" s="252"/>
      <c r="U7" s="250"/>
      <c r="V7" s="250"/>
      <c r="W7" s="250"/>
    </row>
    <row r="8" spans="1:32">
      <c r="A8" s="280" t="s">
        <v>163</v>
      </c>
      <c r="B8" s="279"/>
      <c r="D8" s="256"/>
      <c r="E8" s="256"/>
      <c r="F8" s="256"/>
      <c r="G8" s="256"/>
      <c r="H8" s="256"/>
      <c r="I8" s="256"/>
      <c r="J8" s="252"/>
      <c r="U8" s="250"/>
      <c r="V8" s="250"/>
      <c r="W8" s="250"/>
    </row>
    <row r="9" spans="1:32" ht="13.5" thickBot="1">
      <c r="A9" s="274" t="s">
        <v>162</v>
      </c>
      <c r="B9" s="283"/>
      <c r="C9" s="248"/>
      <c r="D9" s="272"/>
      <c r="E9" s="272"/>
      <c r="F9" s="272"/>
      <c r="G9" s="272"/>
      <c r="H9" s="272"/>
      <c r="I9" s="272"/>
      <c r="J9" s="252"/>
      <c r="U9" s="250"/>
      <c r="V9" s="250"/>
      <c r="W9" s="250"/>
    </row>
    <row r="10" spans="1:32" ht="13.5" thickBot="1">
      <c r="C10" s="248"/>
      <c r="D10" s="272"/>
      <c r="E10" s="272"/>
      <c r="F10" s="272"/>
      <c r="G10" s="272"/>
      <c r="H10" s="272"/>
      <c r="I10" s="272"/>
      <c r="J10" s="252"/>
      <c r="U10" s="250"/>
      <c r="V10" s="250"/>
      <c r="W10" s="250"/>
    </row>
    <row r="11" spans="1:32" ht="13.5" thickBot="1">
      <c r="A11" s="999" t="s">
        <v>161</v>
      </c>
      <c r="B11" s="1000"/>
      <c r="C11" s="248"/>
      <c r="D11" s="282" t="s">
        <v>134</v>
      </c>
      <c r="E11" s="282"/>
      <c r="F11" s="282"/>
      <c r="G11" s="282"/>
      <c r="H11" s="282"/>
      <c r="I11" s="282"/>
      <c r="J11" s="281"/>
      <c r="U11" s="250"/>
      <c r="V11" s="250"/>
      <c r="W11" s="250"/>
    </row>
    <row r="12" spans="1:32">
      <c r="A12" s="280" t="s">
        <v>29</v>
      </c>
      <c r="B12" s="279">
        <f>Cotizador!AA8</f>
        <v>48</v>
      </c>
      <c r="C12" s="248"/>
      <c r="D12" s="272" t="s">
        <v>133</v>
      </c>
      <c r="E12" s="272"/>
      <c r="F12" s="278" t="s">
        <v>98</v>
      </c>
      <c r="G12" s="278"/>
      <c r="H12" s="278"/>
      <c r="I12" s="278"/>
      <c r="J12" s="277" t="s">
        <v>132</v>
      </c>
      <c r="U12" s="250"/>
      <c r="V12" s="250"/>
      <c r="W12" s="250"/>
      <c r="X12" s="250" t="s">
        <v>68</v>
      </c>
      <c r="Y12" s="250" t="s">
        <v>65</v>
      </c>
      <c r="Z12" s="250" t="s">
        <v>66</v>
      </c>
    </row>
    <row r="13" spans="1:32">
      <c r="A13" s="276" t="s">
        <v>68</v>
      </c>
      <c r="B13" s="275" t="s">
        <v>113</v>
      </c>
      <c r="C13" s="248"/>
      <c r="D13" s="272" t="s">
        <v>97</v>
      </c>
      <c r="E13" s="272"/>
      <c r="F13" s="211">
        <v>450</v>
      </c>
      <c r="G13" s="272"/>
      <c r="H13" s="272"/>
      <c r="I13" s="272"/>
      <c r="J13" s="260">
        <v>250</v>
      </c>
      <c r="U13" s="250"/>
      <c r="V13" s="250"/>
      <c r="W13" s="250"/>
      <c r="X13" s="250" t="s">
        <v>65</v>
      </c>
      <c r="Y13" s="253" t="s">
        <v>160</v>
      </c>
      <c r="Z13" s="261" t="s">
        <v>44</v>
      </c>
      <c r="AA13" s="250" t="s">
        <v>147</v>
      </c>
      <c r="AC13" s="261" t="s">
        <v>160</v>
      </c>
      <c r="AD13" s="250" t="s">
        <v>65</v>
      </c>
      <c r="AE13" s="253" t="s">
        <v>150</v>
      </c>
      <c r="AF13" s="252" t="s">
        <v>147</v>
      </c>
    </row>
    <row r="14" spans="1:32">
      <c r="A14" s="276" t="s">
        <v>67</v>
      </c>
      <c r="B14" s="275" t="str">
        <f>Cotizador!D9</f>
        <v>F-250</v>
      </c>
      <c r="C14" s="248"/>
      <c r="D14" s="272" t="s">
        <v>131</v>
      </c>
      <c r="E14" s="272"/>
      <c r="F14" s="51">
        <v>0.28499999999999998</v>
      </c>
      <c r="G14" s="272"/>
      <c r="H14" s="272"/>
      <c r="I14" s="272"/>
      <c r="J14" s="263">
        <v>0.28499999999999998</v>
      </c>
      <c r="U14" s="250"/>
      <c r="V14" s="250"/>
      <c r="W14" s="250"/>
      <c r="X14" s="250" t="s">
        <v>66</v>
      </c>
      <c r="Y14" s="253" t="s">
        <v>159</v>
      </c>
      <c r="Z14" s="261" t="s">
        <v>192</v>
      </c>
      <c r="AA14" s="250" t="s">
        <v>147</v>
      </c>
      <c r="AC14" s="261" t="s">
        <v>159</v>
      </c>
      <c r="AD14" s="250" t="s">
        <v>65</v>
      </c>
      <c r="AE14" s="253" t="s">
        <v>50</v>
      </c>
      <c r="AF14" s="252" t="s">
        <v>147</v>
      </c>
    </row>
    <row r="15" spans="1:32" ht="13.5" thickBot="1">
      <c r="A15" s="274" t="s">
        <v>72</v>
      </c>
      <c r="B15" s="273">
        <f>Cotizador!D17</f>
        <v>184100</v>
      </c>
      <c r="C15" s="248"/>
      <c r="D15" s="272" t="s">
        <v>130</v>
      </c>
      <c r="E15" s="272"/>
      <c r="F15" s="51"/>
      <c r="G15" s="272"/>
      <c r="H15" s="272"/>
      <c r="I15" s="272"/>
      <c r="J15" s="263">
        <v>0.28499999999999998</v>
      </c>
      <c r="U15" s="250"/>
      <c r="V15" s="250"/>
      <c r="W15" s="250"/>
      <c r="Y15" s="253" t="s">
        <v>122</v>
      </c>
      <c r="Z15" s="261" t="s">
        <v>150</v>
      </c>
      <c r="AA15" s="250" t="s">
        <v>147</v>
      </c>
      <c r="AC15" s="261" t="s">
        <v>20</v>
      </c>
      <c r="AD15" s="250" t="s">
        <v>65</v>
      </c>
      <c r="AE15" s="253" t="s">
        <v>52</v>
      </c>
      <c r="AF15" s="252" t="s">
        <v>147</v>
      </c>
    </row>
    <row r="16" spans="1:32" ht="13.5">
      <c r="C16" s="248"/>
      <c r="D16" s="272" t="s">
        <v>127</v>
      </c>
      <c r="E16" s="272"/>
      <c r="F16" s="51">
        <v>1</v>
      </c>
      <c r="G16" s="272"/>
      <c r="H16" s="272"/>
      <c r="I16" s="272"/>
      <c r="J16" s="263">
        <v>0.1258</v>
      </c>
      <c r="U16" s="250"/>
      <c r="V16" s="250"/>
      <c r="W16" s="250"/>
      <c r="Y16" s="353" t="s">
        <v>157</v>
      </c>
      <c r="Z16" s="261" t="s">
        <v>50</v>
      </c>
      <c r="AA16" s="250" t="s">
        <v>147</v>
      </c>
      <c r="AC16" s="261" t="s">
        <v>22</v>
      </c>
      <c r="AD16" s="250" t="s">
        <v>65</v>
      </c>
      <c r="AE16" s="253" t="s">
        <v>149</v>
      </c>
      <c r="AF16" s="252" t="s">
        <v>147</v>
      </c>
    </row>
    <row r="17" spans="1:35">
      <c r="C17" s="248"/>
      <c r="D17" s="272" t="s">
        <v>125</v>
      </c>
      <c r="E17" s="272" t="s">
        <v>124</v>
      </c>
      <c r="F17" s="51">
        <v>1</v>
      </c>
      <c r="G17" s="272"/>
      <c r="H17" s="272"/>
      <c r="I17" s="272"/>
      <c r="J17" s="263">
        <v>-0.23100000000000001</v>
      </c>
      <c r="U17" s="250"/>
      <c r="V17" s="250"/>
      <c r="W17" s="250"/>
      <c r="Y17" s="253" t="s">
        <v>15</v>
      </c>
      <c r="Z17" s="261" t="s">
        <v>52</v>
      </c>
      <c r="AA17" s="250" t="s">
        <v>147</v>
      </c>
      <c r="AC17" s="261" t="s">
        <v>15</v>
      </c>
      <c r="AD17" s="250" t="s">
        <v>65</v>
      </c>
      <c r="AE17" s="253" t="s">
        <v>141</v>
      </c>
      <c r="AF17" s="252" t="s">
        <v>147</v>
      </c>
    </row>
    <row r="18" spans="1:35">
      <c r="D18" s="256"/>
      <c r="E18" s="256"/>
      <c r="F18" s="256"/>
      <c r="G18" s="256"/>
      <c r="H18" s="256"/>
      <c r="I18" s="256"/>
      <c r="J18" s="252"/>
      <c r="U18" s="250"/>
      <c r="V18" s="250"/>
      <c r="W18" s="250"/>
      <c r="Y18" s="253" t="s">
        <v>21</v>
      </c>
      <c r="Z18" s="253" t="s">
        <v>149</v>
      </c>
      <c r="AA18" s="250" t="s">
        <v>147</v>
      </c>
      <c r="AC18" s="261" t="s">
        <v>21</v>
      </c>
      <c r="AD18" s="250" t="s">
        <v>65</v>
      </c>
      <c r="AE18" s="253" t="s">
        <v>54</v>
      </c>
      <c r="AF18" s="252" t="s">
        <v>147</v>
      </c>
    </row>
    <row r="19" spans="1:35">
      <c r="A19" s="271" t="s">
        <v>158</v>
      </c>
      <c r="U19" s="250"/>
      <c r="V19" s="250"/>
      <c r="W19" s="250"/>
      <c r="Y19" s="253" t="s">
        <v>40</v>
      </c>
      <c r="Z19" s="253" t="s">
        <v>141</v>
      </c>
      <c r="AA19" s="250" t="s">
        <v>147</v>
      </c>
      <c r="AC19" s="261" t="s">
        <v>40</v>
      </c>
      <c r="AD19" s="250" t="s">
        <v>65</v>
      </c>
      <c r="AE19" s="253" t="s">
        <v>44</v>
      </c>
      <c r="AF19" s="252" t="s">
        <v>147</v>
      </c>
    </row>
    <row r="20" spans="1:35">
      <c r="U20" s="250"/>
      <c r="V20" s="250"/>
      <c r="W20" s="250"/>
      <c r="Y20" s="253" t="s">
        <v>104</v>
      </c>
      <c r="Z20" s="253" t="s">
        <v>54</v>
      </c>
      <c r="AA20" s="250" t="s">
        <v>147</v>
      </c>
      <c r="AC20" s="261" t="s">
        <v>104</v>
      </c>
      <c r="AD20" s="250" t="s">
        <v>65</v>
      </c>
      <c r="AE20" s="261" t="s">
        <v>106</v>
      </c>
      <c r="AF20" s="252" t="s">
        <v>147</v>
      </c>
    </row>
    <row r="21" spans="1:35">
      <c r="A21" s="270"/>
      <c r="B21" s="269" t="s">
        <v>57</v>
      </c>
      <c r="C21" s="269" t="s">
        <v>58</v>
      </c>
      <c r="D21" s="269" t="s">
        <v>59</v>
      </c>
      <c r="E21" s="269" t="s">
        <v>60</v>
      </c>
      <c r="F21" s="269" t="s">
        <v>61</v>
      </c>
      <c r="U21" s="250"/>
      <c r="V21" s="250"/>
      <c r="W21" s="250"/>
      <c r="Y21" s="253" t="s">
        <v>156</v>
      </c>
      <c r="Z21" s="261" t="s">
        <v>105</v>
      </c>
      <c r="AA21" s="250" t="s">
        <v>147</v>
      </c>
      <c r="AC21" s="261" t="s">
        <v>156</v>
      </c>
      <c r="AD21" s="250" t="s">
        <v>65</v>
      </c>
      <c r="AE21" s="253" t="s">
        <v>192</v>
      </c>
      <c r="AF21" s="252" t="s">
        <v>147</v>
      </c>
    </row>
    <row r="22" spans="1:35">
      <c r="A22" s="265" t="s">
        <v>73</v>
      </c>
      <c r="B22" s="267">
        <f>I30</f>
        <v>48</v>
      </c>
      <c r="C22" s="268">
        <f>I31</f>
        <v>48</v>
      </c>
      <c r="D22" s="268">
        <f>I32</f>
        <v>48</v>
      </c>
      <c r="E22" s="267">
        <f>I33</f>
        <v>48</v>
      </c>
      <c r="F22" s="267">
        <f>I34</f>
        <v>48</v>
      </c>
      <c r="K22" s="250"/>
      <c r="U22" s="250"/>
      <c r="V22" s="250"/>
      <c r="W22" s="250"/>
      <c r="Y22" s="253" t="s">
        <v>17</v>
      </c>
      <c r="Z22" s="253" t="s">
        <v>106</v>
      </c>
      <c r="AA22" s="250" t="s">
        <v>147</v>
      </c>
      <c r="AC22" s="261" t="s">
        <v>17</v>
      </c>
      <c r="AD22" s="250" t="s">
        <v>65</v>
      </c>
      <c r="AE22" s="250" t="s">
        <v>111</v>
      </c>
      <c r="AF22" s="250" t="s">
        <v>147</v>
      </c>
    </row>
    <row r="23" spans="1:35">
      <c r="A23" s="265" t="s">
        <v>69</v>
      </c>
      <c r="B23" s="265">
        <f>J30</f>
        <v>1</v>
      </c>
      <c r="C23" s="266">
        <f>J31</f>
        <v>4</v>
      </c>
      <c r="D23" s="266">
        <f>J32</f>
        <v>8</v>
      </c>
      <c r="E23" s="265">
        <f>J33</f>
        <v>16</v>
      </c>
      <c r="F23" s="265">
        <f>J34</f>
        <v>48</v>
      </c>
      <c r="U23" s="250"/>
      <c r="V23" s="250"/>
      <c r="W23" s="250"/>
      <c r="Y23" s="253" t="s">
        <v>155</v>
      </c>
      <c r="Z23" s="262"/>
      <c r="AA23" s="250" t="s">
        <v>65</v>
      </c>
      <c r="AC23" s="261" t="s">
        <v>78</v>
      </c>
      <c r="AD23" s="250" t="s">
        <v>65</v>
      </c>
      <c r="AE23" s="250" t="s">
        <v>112</v>
      </c>
      <c r="AF23" s="250" t="s">
        <v>147</v>
      </c>
    </row>
    <row r="24" spans="1:35">
      <c r="A24" s="265" t="s">
        <v>70</v>
      </c>
      <c r="B24" s="27">
        <f>U30</f>
        <v>55909.448000000004</v>
      </c>
      <c r="C24" s="56">
        <f>U31/J31</f>
        <v>15039.641512000002</v>
      </c>
      <c r="D24" s="56">
        <f>U32/J32</f>
        <v>7614.1679495000008</v>
      </c>
      <c r="E24" s="27">
        <f>U33/J33</f>
        <v>3830.8454901500004</v>
      </c>
      <c r="F24" s="27">
        <f>U34/J34</f>
        <v>1282.1900074666667</v>
      </c>
      <c r="J24" s="352"/>
      <c r="K24" s="264"/>
      <c r="L24" s="264"/>
      <c r="M24" s="264"/>
      <c r="N24" s="264"/>
      <c r="O24" s="264"/>
      <c r="U24" s="250"/>
      <c r="V24" s="250"/>
      <c r="W24" s="250"/>
      <c r="Y24" s="261" t="s">
        <v>154</v>
      </c>
      <c r="Z24" s="262"/>
      <c r="AA24" s="250" t="s">
        <v>65</v>
      </c>
      <c r="AC24" s="261" t="s">
        <v>153</v>
      </c>
      <c r="AD24" s="250" t="s">
        <v>65</v>
      </c>
    </row>
    <row r="25" spans="1:35">
      <c r="A25" s="265" t="s">
        <v>71</v>
      </c>
      <c r="B25" s="27">
        <f>B24/J30</f>
        <v>55909.448000000004</v>
      </c>
      <c r="C25" s="56">
        <f>U31</f>
        <v>60158.566048000008</v>
      </c>
      <c r="D25" s="56">
        <f>U32</f>
        <v>60913.343596000006</v>
      </c>
      <c r="E25" s="27">
        <f>U33</f>
        <v>61293.527842400006</v>
      </c>
      <c r="F25" s="27">
        <f>U34</f>
        <v>61545.120358400003</v>
      </c>
      <c r="J25" s="351"/>
      <c r="K25" s="264"/>
      <c r="L25" s="264"/>
      <c r="M25" s="264"/>
      <c r="N25" s="264"/>
      <c r="O25" s="264"/>
      <c r="U25" s="250"/>
      <c r="V25" s="250"/>
      <c r="W25" s="250"/>
      <c r="Y25" s="253" t="s">
        <v>1</v>
      </c>
      <c r="Z25" s="262"/>
      <c r="AA25" s="250" t="s">
        <v>65</v>
      </c>
      <c r="AC25" s="261" t="s">
        <v>1</v>
      </c>
      <c r="AD25" s="250" t="s">
        <v>65</v>
      </c>
    </row>
    <row r="26" spans="1:35">
      <c r="U26" s="250"/>
      <c r="V26" s="250"/>
      <c r="W26" s="250"/>
      <c r="Y26" s="253" t="s">
        <v>11</v>
      </c>
      <c r="Z26" s="262"/>
      <c r="AA26" s="250" t="s">
        <v>65</v>
      </c>
      <c r="AC26" s="261" t="s">
        <v>11</v>
      </c>
      <c r="AD26" s="250" t="s">
        <v>65</v>
      </c>
    </row>
    <row r="27" spans="1:35" s="272" customFormat="1">
      <c r="A27" s="272" t="s">
        <v>64</v>
      </c>
      <c r="B27" s="350" t="e">
        <f>ROUND($B$15*VLOOKUP($B$14,'Cuotas GNP p2 13'!$C$7:$E$21,3,FALSE)/100+VLOOKUP($B$14,'Cuotas GNP p2 13'!$C$7:$E$21,4,FALSE),2)</f>
        <v>#N/A</v>
      </c>
      <c r="F27" s="349"/>
      <c r="J27" s="252">
        <v>729.1</v>
      </c>
      <c r="K27" s="349"/>
      <c r="L27" s="252"/>
      <c r="M27" s="252"/>
      <c r="N27" s="252"/>
      <c r="O27" s="252"/>
      <c r="P27" s="252"/>
      <c r="Q27" s="252"/>
      <c r="R27" s="252"/>
      <c r="S27" s="252"/>
      <c r="T27" s="252"/>
      <c r="U27" s="252"/>
      <c r="V27" s="252"/>
      <c r="W27" s="252"/>
      <c r="X27" s="252"/>
      <c r="Y27" s="253" t="s">
        <v>18</v>
      </c>
      <c r="Z27" s="262"/>
      <c r="AA27" s="250" t="s">
        <v>65</v>
      </c>
      <c r="AB27" s="252"/>
      <c r="AC27" s="261" t="s">
        <v>18</v>
      </c>
      <c r="AD27" s="250" t="s">
        <v>65</v>
      </c>
      <c r="AE27" s="252"/>
      <c r="AF27" s="252"/>
      <c r="AG27" s="252"/>
      <c r="AH27" s="252"/>
      <c r="AI27" s="252"/>
    </row>
    <row r="28" spans="1:35" s="272" customFormat="1">
      <c r="A28" s="332"/>
      <c r="B28" s="332"/>
      <c r="J28" s="252"/>
      <c r="K28" s="252"/>
      <c r="L28" s="252"/>
      <c r="M28" s="263"/>
      <c r="N28" s="252"/>
      <c r="O28" s="252"/>
      <c r="P28" s="252"/>
      <c r="Q28" s="252"/>
      <c r="R28" s="263"/>
      <c r="S28" s="252"/>
      <c r="T28" s="252"/>
      <c r="U28" s="252"/>
      <c r="V28" s="252"/>
      <c r="W28" s="252"/>
      <c r="X28" s="252"/>
      <c r="Y28" s="253" t="s">
        <v>152</v>
      </c>
      <c r="Z28" s="262"/>
      <c r="AA28" s="250" t="s">
        <v>65</v>
      </c>
      <c r="AB28" s="252"/>
      <c r="AC28" s="261" t="s">
        <v>9</v>
      </c>
      <c r="AD28" s="250" t="s">
        <v>65</v>
      </c>
      <c r="AE28" s="252"/>
      <c r="AF28" s="252"/>
      <c r="AG28" s="252"/>
      <c r="AH28" s="252"/>
      <c r="AI28" s="252"/>
    </row>
    <row r="29" spans="1:35" s="256" customFormat="1" ht="38.25">
      <c r="A29" s="358" t="s">
        <v>72</v>
      </c>
      <c r="B29" s="358" t="s">
        <v>91</v>
      </c>
      <c r="C29" s="358" t="s">
        <v>92</v>
      </c>
      <c r="D29" s="358" t="s">
        <v>93</v>
      </c>
      <c r="E29" s="358" t="s">
        <v>76</v>
      </c>
      <c r="F29" s="358" t="s">
        <v>94</v>
      </c>
      <c r="G29" s="1001" t="s">
        <v>77</v>
      </c>
      <c r="H29" s="1001"/>
      <c r="I29" s="358" t="s">
        <v>62</v>
      </c>
      <c r="J29" s="358" t="s">
        <v>63</v>
      </c>
      <c r="K29" s="358" t="s">
        <v>95</v>
      </c>
      <c r="L29" s="358" t="s">
        <v>76</v>
      </c>
      <c r="M29" s="358" t="s">
        <v>86</v>
      </c>
      <c r="N29" s="358" t="s">
        <v>96</v>
      </c>
      <c r="O29" s="358" t="s">
        <v>74</v>
      </c>
      <c r="P29" s="358" t="s">
        <v>75</v>
      </c>
      <c r="Q29" s="358" t="s">
        <v>87</v>
      </c>
      <c r="R29" s="358" t="s">
        <v>88</v>
      </c>
      <c r="S29" s="358" t="s">
        <v>89</v>
      </c>
      <c r="T29" s="358" t="s">
        <v>99</v>
      </c>
      <c r="U29" s="358" t="s">
        <v>100</v>
      </c>
      <c r="Y29" s="259" t="s">
        <v>7</v>
      </c>
      <c r="Z29" s="258"/>
      <c r="AA29" s="255" t="s">
        <v>65</v>
      </c>
      <c r="AC29" s="257" t="s">
        <v>7</v>
      </c>
      <c r="AD29" s="255" t="s">
        <v>65</v>
      </c>
    </row>
    <row r="30" spans="1:35" s="256" customFormat="1">
      <c r="A30" s="359">
        <f>$B$15</f>
        <v>184100</v>
      </c>
      <c r="B30" s="360">
        <f>VLOOKUP($B$14,'Cuotas GNP p2 13'!$B$7:$E$33,3,FALSE)</f>
        <v>5.3775000000000004</v>
      </c>
      <c r="C30" s="46">
        <f>ROUND(A30*B30/100,2)</f>
        <v>9899.98</v>
      </c>
      <c r="D30" s="359">
        <f>VLOOKUP($B$14,'Cuotas GNP p2 13'!$B$7:$E$33,4,FALSE)</f>
        <v>2036.97</v>
      </c>
      <c r="E30" s="359">
        <f>C30+D30</f>
        <v>11936.949999999999</v>
      </c>
      <c r="F30" s="256" t="s">
        <v>57</v>
      </c>
      <c r="G30" s="256">
        <f>$B$12/$B$12</f>
        <v>1</v>
      </c>
      <c r="H30" s="256">
        <f>INT(G30)</f>
        <v>1</v>
      </c>
      <c r="I30" s="256">
        <f>$B$12*H30</f>
        <v>48</v>
      </c>
      <c r="J30" s="256">
        <v>1</v>
      </c>
      <c r="K30" s="256">
        <f>VLOOKUP(I30,'FACTOR LP GNP p2 13'!$A$11:$B$70,2,FALSE)</f>
        <v>4</v>
      </c>
      <c r="L30" s="46">
        <f>ROUND(E30*K30,2)</f>
        <v>47747.8</v>
      </c>
      <c r="M30" s="46">
        <f>L30*$F$14</f>
        <v>13608.123</v>
      </c>
      <c r="N30" s="46">
        <f>$F$13</f>
        <v>450</v>
      </c>
      <c r="O30" s="46">
        <f>L30+N30</f>
        <v>48197.8</v>
      </c>
      <c r="P30" s="361">
        <v>0</v>
      </c>
      <c r="Q30" s="362">
        <f>O30*P30</f>
        <v>0</v>
      </c>
      <c r="R30" s="362">
        <f>Q30*$F$15</f>
        <v>0</v>
      </c>
      <c r="S30" s="46">
        <f>O30+Q30</f>
        <v>48197.8</v>
      </c>
      <c r="T30" s="46">
        <f>S30*0.16</f>
        <v>7711.648000000001</v>
      </c>
      <c r="U30" s="46">
        <f>S30+T30</f>
        <v>55909.448000000004</v>
      </c>
      <c r="Y30" s="259" t="s">
        <v>3</v>
      </c>
      <c r="Z30" s="258"/>
      <c r="AA30" s="255" t="s">
        <v>65</v>
      </c>
      <c r="AC30" s="257" t="s">
        <v>3</v>
      </c>
      <c r="AD30" s="255" t="s">
        <v>65</v>
      </c>
    </row>
    <row r="31" spans="1:35" s="256" customFormat="1">
      <c r="A31" s="359">
        <f>$B$15</f>
        <v>184100</v>
      </c>
      <c r="B31" s="360">
        <f>VLOOKUP($B$14,'Cuotas GNP p2 13'!$B$7:$E$33,3,FALSE)</f>
        <v>5.3775000000000004</v>
      </c>
      <c r="C31" s="46">
        <f>ROUND(A31*B31/100,2)</f>
        <v>9899.98</v>
      </c>
      <c r="D31" s="359">
        <f>VLOOKUP($B$14,'Cuotas GNP p2 13'!$B$7:$E$33,4,FALSE)</f>
        <v>2036.97</v>
      </c>
      <c r="E31" s="359">
        <f>C31+D31</f>
        <v>11936.949999999999</v>
      </c>
      <c r="F31" s="256" t="s">
        <v>58</v>
      </c>
      <c r="G31" s="256">
        <f>$B$12/12</f>
        <v>4</v>
      </c>
      <c r="H31" s="256">
        <f>INT(G31)</f>
        <v>4</v>
      </c>
      <c r="I31" s="256">
        <f>IF(H31-G31=0,H31*12,(H31+1)*12)</f>
        <v>48</v>
      </c>
      <c r="J31" s="256">
        <f>I31/12</f>
        <v>4</v>
      </c>
      <c r="K31" s="256">
        <f>VLOOKUP(I31,'FACTOR LP GNP p2 13'!$A$11:$B$70,2,FALSE)</f>
        <v>4</v>
      </c>
      <c r="L31" s="46">
        <f>ROUND(E31*K31,2)</f>
        <v>47747.8</v>
      </c>
      <c r="M31" s="46">
        <f>L31*$F$14</f>
        <v>13608.123</v>
      </c>
      <c r="N31" s="46">
        <f>$F$13</f>
        <v>450</v>
      </c>
      <c r="O31" s="46">
        <f>L31+N31</f>
        <v>48197.8</v>
      </c>
      <c r="P31" s="361">
        <f>VLOOKUP(J31,'RECARGO P FRACC GNP p2 13'!$B$15:$F$74,2,FALSE)</f>
        <v>7.5999999999999998E-2</v>
      </c>
      <c r="Q31" s="362">
        <f>O31*P31</f>
        <v>3663.0328</v>
      </c>
      <c r="R31" s="362">
        <f>Q31*$F$15</f>
        <v>0</v>
      </c>
      <c r="S31" s="46">
        <f>O31+Q31</f>
        <v>51860.832800000004</v>
      </c>
      <c r="T31" s="46">
        <f>S31*0.16</f>
        <v>8297.7332480000005</v>
      </c>
      <c r="U31" s="46">
        <f>S31+T31</f>
        <v>60158.566048000008</v>
      </c>
      <c r="Y31" s="259" t="s">
        <v>151</v>
      </c>
      <c r="Z31" s="258"/>
      <c r="AA31" s="255" t="s">
        <v>65</v>
      </c>
      <c r="AC31" s="257" t="s">
        <v>4</v>
      </c>
      <c r="AD31" s="255" t="s">
        <v>65</v>
      </c>
    </row>
    <row r="32" spans="1:35" s="256" customFormat="1">
      <c r="A32" s="359">
        <f>$B$15</f>
        <v>184100</v>
      </c>
      <c r="B32" s="360">
        <f>VLOOKUP($B$14,'Cuotas GNP p2 13'!$B$7:$E$33,3,FALSE)</f>
        <v>5.3775000000000004</v>
      </c>
      <c r="C32" s="46">
        <f>ROUND(A32*B32/100,2)</f>
        <v>9899.98</v>
      </c>
      <c r="D32" s="359">
        <f>VLOOKUP($B$14,'Cuotas GNP p2 13'!$B$7:$E$33,4,FALSE)</f>
        <v>2036.97</v>
      </c>
      <c r="E32" s="359">
        <f>C32+D32</f>
        <v>11936.949999999999</v>
      </c>
      <c r="F32" s="256" t="s">
        <v>59</v>
      </c>
      <c r="G32" s="256">
        <f>IF($B$12/6&lt;=1,"",$B$12/6)</f>
        <v>8</v>
      </c>
      <c r="H32" s="256">
        <f>INT(G32)</f>
        <v>8</v>
      </c>
      <c r="I32" s="256">
        <f>IF(H32-G32=0,H32*6,(H32+1)*6)</f>
        <v>48</v>
      </c>
      <c r="J32" s="256">
        <f>I32/6</f>
        <v>8</v>
      </c>
      <c r="K32" s="256">
        <f>VLOOKUP(I32,'FACTOR LP GNP p2 13'!$A$11:$B$70,2,FALSE)</f>
        <v>4</v>
      </c>
      <c r="L32" s="46">
        <f>ROUND(E32*K32,2)</f>
        <v>47747.8</v>
      </c>
      <c r="M32" s="46">
        <f>L32*$F$14</f>
        <v>13608.123</v>
      </c>
      <c r="N32" s="46">
        <f>$F$13</f>
        <v>450</v>
      </c>
      <c r="O32" s="46">
        <f>L32+N32</f>
        <v>48197.8</v>
      </c>
      <c r="P32" s="361">
        <f>VLOOKUP(J32,'RECARGO P FRACC GNP p2 13'!$B$15:$F$74,3,FALSE)</f>
        <v>8.9499999999999996E-2</v>
      </c>
      <c r="Q32" s="362">
        <f>O32*P32</f>
        <v>4313.7030999999997</v>
      </c>
      <c r="R32" s="362">
        <f>Q32*$F$15</f>
        <v>0</v>
      </c>
      <c r="S32" s="46">
        <f>O32+Q32</f>
        <v>52511.503100000002</v>
      </c>
      <c r="T32" s="46">
        <f>S32*0.16</f>
        <v>8401.8404960000007</v>
      </c>
      <c r="U32" s="46">
        <f>S32+T32</f>
        <v>60913.343596000006</v>
      </c>
      <c r="Y32" s="259" t="s">
        <v>114</v>
      </c>
      <c r="Z32" s="258"/>
      <c r="AA32" s="255" t="s">
        <v>65</v>
      </c>
      <c r="AC32" s="257" t="s">
        <v>42</v>
      </c>
      <c r="AD32" s="256" t="s">
        <v>147</v>
      </c>
    </row>
    <row r="33" spans="1:33" s="256" customFormat="1">
      <c r="A33" s="359">
        <f>$B$15</f>
        <v>184100</v>
      </c>
      <c r="B33" s="360">
        <f>VLOOKUP($B$14,'Cuotas GNP p2 13'!$B$7:$E$33,3,FALSE)</f>
        <v>5.3775000000000004</v>
      </c>
      <c r="C33" s="46">
        <f>ROUND(A33*B33/100,2)</f>
        <v>9899.98</v>
      </c>
      <c r="D33" s="359">
        <f>VLOOKUP($B$14,'Cuotas GNP p2 13'!$B$7:$E$33,4,FALSE)</f>
        <v>2036.97</v>
      </c>
      <c r="E33" s="359">
        <f>C33+D33</f>
        <v>11936.949999999999</v>
      </c>
      <c r="F33" s="256" t="s">
        <v>60</v>
      </c>
      <c r="G33" s="256">
        <f>IF($B$12/3&lt;=3,"",$B$12/3)</f>
        <v>16</v>
      </c>
      <c r="H33" s="256">
        <f>INT(G33)</f>
        <v>16</v>
      </c>
      <c r="I33" s="256">
        <f>IF(H33-G33=0,H33*3,(H33+1)*3)</f>
        <v>48</v>
      </c>
      <c r="J33" s="256">
        <f>I33/3</f>
        <v>16</v>
      </c>
      <c r="K33" s="256">
        <f>VLOOKUP(I33,'FACTOR LP GNP p2 13'!$A$11:$B$70,2,FALSE)</f>
        <v>4</v>
      </c>
      <c r="L33" s="46">
        <f>ROUND(E33*K33,2)</f>
        <v>47747.8</v>
      </c>
      <c r="M33" s="46">
        <f>L33*$F$14</f>
        <v>13608.123</v>
      </c>
      <c r="N33" s="46">
        <f>$F$13</f>
        <v>450</v>
      </c>
      <c r="O33" s="46">
        <f>L33+N33</f>
        <v>48197.8</v>
      </c>
      <c r="P33" s="361">
        <f>VLOOKUP(J33,'RECARGO P FRACC GNP p2 13'!$B$15:$F$74,4,FALSE)</f>
        <v>9.6299999999999997E-2</v>
      </c>
      <c r="Q33" s="362">
        <f>O33*P33</f>
        <v>4641.4481400000004</v>
      </c>
      <c r="R33" s="362">
        <f>Q33*$F$15</f>
        <v>0</v>
      </c>
      <c r="S33" s="46">
        <f>O33+Q33</f>
        <v>52839.248140000003</v>
      </c>
      <c r="T33" s="46">
        <f>S33*0.16</f>
        <v>8454.279702400001</v>
      </c>
      <c r="U33" s="46">
        <f>S33+T33</f>
        <v>61293.527842400006</v>
      </c>
      <c r="Y33" s="257" t="s">
        <v>105</v>
      </c>
      <c r="Z33" s="258"/>
      <c r="AA33" s="255" t="s">
        <v>65</v>
      </c>
      <c r="AC33" s="257" t="s">
        <v>105</v>
      </c>
      <c r="AD33" s="255" t="s">
        <v>65</v>
      </c>
    </row>
    <row r="34" spans="1:33" s="256" customFormat="1">
      <c r="A34" s="359">
        <f>$B$15</f>
        <v>184100</v>
      </c>
      <c r="B34" s="360">
        <f>VLOOKUP($B$14,'Cuotas GNP p2 13'!$B$7:$E$33,3,FALSE)</f>
        <v>5.3775000000000004</v>
      </c>
      <c r="C34" s="46">
        <f>ROUND(A34*B34/100,2)</f>
        <v>9899.98</v>
      </c>
      <c r="D34" s="359">
        <f>VLOOKUP($B$14,'Cuotas GNP p2 13'!$B$7:$E$33,4,FALSE)</f>
        <v>2036.97</v>
      </c>
      <c r="E34" s="359">
        <f>C34+D34</f>
        <v>11936.949999999999</v>
      </c>
      <c r="F34" s="256" t="s">
        <v>61</v>
      </c>
      <c r="G34" s="256">
        <f>IF($B$12/1&lt;12,"",$B$12/1)</f>
        <v>48</v>
      </c>
      <c r="H34" s="256">
        <f>INT(G34)</f>
        <v>48</v>
      </c>
      <c r="I34" s="256">
        <f>H34*1</f>
        <v>48</v>
      </c>
      <c r="J34" s="256">
        <f>I34/1</f>
        <v>48</v>
      </c>
      <c r="K34" s="256">
        <f>VLOOKUP(I34,'FACTOR LP GNP p2 13'!$A$11:$B$70,2,FALSE)</f>
        <v>4</v>
      </c>
      <c r="L34" s="46">
        <f>ROUND(E34*K34,2)</f>
        <v>47747.8</v>
      </c>
      <c r="M34" s="46">
        <f>L34*$F$14</f>
        <v>13608.123</v>
      </c>
      <c r="N34" s="46">
        <f>$F$13</f>
        <v>450</v>
      </c>
      <c r="O34" s="46">
        <f>L34+N34</f>
        <v>48197.8</v>
      </c>
      <c r="P34" s="361">
        <f>VLOOKUP(J34,'RECARGO P FRACC GNP p2 13'!$B$15:$F$74,5,FALSE)</f>
        <v>0.1008</v>
      </c>
      <c r="Q34" s="362">
        <f>O34*P34</f>
        <v>4858.33824</v>
      </c>
      <c r="R34" s="362">
        <f>Q34*$F$15</f>
        <v>0</v>
      </c>
      <c r="S34" s="46">
        <f>O34+Q34</f>
        <v>53056.13824</v>
      </c>
      <c r="T34" s="46">
        <f>S34*0.16</f>
        <v>8488.9821183999993</v>
      </c>
      <c r="U34" s="46">
        <f>S34+T34</f>
        <v>61545.120358400003</v>
      </c>
      <c r="Y34" s="259" t="s">
        <v>150</v>
      </c>
      <c r="Z34" s="258"/>
      <c r="AA34" s="256" t="s">
        <v>147</v>
      </c>
      <c r="AC34" s="259" t="s">
        <v>150</v>
      </c>
      <c r="AD34" s="256" t="s">
        <v>147</v>
      </c>
    </row>
    <row r="35" spans="1:33" s="256" customFormat="1">
      <c r="A35" s="359"/>
      <c r="B35" s="360"/>
      <c r="C35" s="46"/>
      <c r="D35" s="359"/>
      <c r="E35" s="359"/>
      <c r="L35" s="46"/>
      <c r="M35" s="46"/>
      <c r="N35" s="46"/>
      <c r="O35" s="46"/>
      <c r="P35" s="361"/>
      <c r="Q35" s="362"/>
      <c r="R35" s="362"/>
      <c r="S35" s="46"/>
      <c r="T35" s="46"/>
      <c r="U35" s="46"/>
      <c r="Y35" s="259" t="s">
        <v>50</v>
      </c>
      <c r="Z35" s="255"/>
      <c r="AA35" s="256" t="s">
        <v>147</v>
      </c>
      <c r="AC35" s="259" t="s">
        <v>50</v>
      </c>
      <c r="AD35" s="256" t="s">
        <v>147</v>
      </c>
    </row>
    <row r="36" spans="1:33" s="247" customFormat="1">
      <c r="U36" s="255"/>
      <c r="V36" s="255"/>
      <c r="W36" s="255"/>
      <c r="X36" s="255"/>
      <c r="Y36" s="255" t="s">
        <v>46</v>
      </c>
      <c r="Z36" s="255"/>
      <c r="AA36" s="255" t="s">
        <v>147</v>
      </c>
      <c r="AB36" s="255"/>
      <c r="AC36" s="255" t="s">
        <v>46</v>
      </c>
      <c r="AD36" s="256" t="s">
        <v>147</v>
      </c>
      <c r="AE36" s="255"/>
      <c r="AF36" s="255"/>
      <c r="AG36" s="255"/>
    </row>
    <row r="37" spans="1:33" s="247" customFormat="1">
      <c r="X37" s="255"/>
      <c r="Y37" s="259" t="s">
        <v>52</v>
      </c>
      <c r="Z37" s="255"/>
      <c r="AA37" s="256" t="s">
        <v>147</v>
      </c>
      <c r="AB37" s="255"/>
      <c r="AC37" s="259" t="s">
        <v>52</v>
      </c>
      <c r="AD37" s="256" t="s">
        <v>147</v>
      </c>
      <c r="AE37" s="255"/>
      <c r="AF37" s="255"/>
      <c r="AG37" s="255"/>
    </row>
    <row r="38" spans="1:33">
      <c r="Y38" s="253" t="s">
        <v>149</v>
      </c>
      <c r="AA38" s="252" t="s">
        <v>147</v>
      </c>
      <c r="AC38" s="253" t="s">
        <v>149</v>
      </c>
      <c r="AD38" s="252" t="s">
        <v>147</v>
      </c>
    </row>
    <row r="39" spans="1:33">
      <c r="Y39" s="253" t="s">
        <v>141</v>
      </c>
      <c r="AA39" s="252" t="s">
        <v>147</v>
      </c>
      <c r="AC39" s="253" t="s">
        <v>141</v>
      </c>
      <c r="AD39" s="252" t="s">
        <v>147</v>
      </c>
    </row>
    <row r="40" spans="1:33">
      <c r="Y40" s="253" t="s">
        <v>54</v>
      </c>
      <c r="AA40" s="252" t="s">
        <v>147</v>
      </c>
      <c r="AC40" s="253" t="s">
        <v>54</v>
      </c>
      <c r="AD40" s="252" t="s">
        <v>147</v>
      </c>
    </row>
    <row r="41" spans="1:33">
      <c r="Y41" s="253" t="s">
        <v>44</v>
      </c>
      <c r="Z41" s="254"/>
      <c r="AA41" s="252" t="s">
        <v>147</v>
      </c>
      <c r="AC41" s="253" t="s">
        <v>44</v>
      </c>
      <c r="AD41" s="252" t="s">
        <v>147</v>
      </c>
    </row>
    <row r="42" spans="1:33">
      <c r="Y42" s="261" t="s">
        <v>106</v>
      </c>
      <c r="Z42" s="254"/>
      <c r="AA42" s="250" t="s">
        <v>65</v>
      </c>
      <c r="AC42" s="261" t="s">
        <v>106</v>
      </c>
      <c r="AD42" s="252" t="s">
        <v>147</v>
      </c>
    </row>
    <row r="43" spans="1:33">
      <c r="Y43" s="253" t="s">
        <v>55</v>
      </c>
      <c r="Z43" s="254"/>
      <c r="AA43" s="252" t="s">
        <v>147</v>
      </c>
      <c r="AC43" s="253" t="s">
        <v>192</v>
      </c>
      <c r="AD43" s="252" t="s">
        <v>147</v>
      </c>
    </row>
    <row r="44" spans="1:33">
      <c r="Y44" s="250" t="s">
        <v>111</v>
      </c>
      <c r="AA44" s="250" t="s">
        <v>147</v>
      </c>
      <c r="AC44" s="250" t="s">
        <v>111</v>
      </c>
      <c r="AD44" s="250" t="s">
        <v>147</v>
      </c>
    </row>
    <row r="45" spans="1:33">
      <c r="Y45" s="250" t="s">
        <v>112</v>
      </c>
      <c r="Z45" s="250" t="s">
        <v>147</v>
      </c>
      <c r="AC45" s="250" t="s">
        <v>112</v>
      </c>
      <c r="AD45" s="250" t="s">
        <v>147</v>
      </c>
    </row>
  </sheetData>
  <sheetProtection password="F4F5" sheet="1" objects="1" scenarios="1" selectLockedCells="1" selectUnlockedCells="1"/>
  <mergeCells count="4">
    <mergeCell ref="A11:B11"/>
    <mergeCell ref="G29:H29"/>
    <mergeCell ref="A3:F3"/>
    <mergeCell ref="A7:B7"/>
  </mergeCells>
  <dataValidations count="1">
    <dataValidation type="list" allowBlank="1" showInputMessage="1" showErrorMessage="1" sqref="B13">
      <formula1>$X$13:$X$14</formula1>
    </dataValidation>
  </dataValidations>
  <printOptions horizontalCentered="1"/>
  <pageMargins left="0.39370078740157483" right="0.39370078740157483" top="0.98425196850393704" bottom="0.98425196850393704" header="0" footer="0"/>
  <pageSetup scale="78" orientation="portrait" r:id="rId1"/>
  <headerFooter alignWithMargins="0">
    <oddFooter>&amp;C&amp;F&amp;R&amp;D&amp;T</oddFooter>
  </headerFooter>
</worksheet>
</file>

<file path=xl/worksheets/sheet17.xml><?xml version="1.0" encoding="utf-8"?>
<worksheet xmlns="http://schemas.openxmlformats.org/spreadsheetml/2006/main" xmlns:r="http://schemas.openxmlformats.org/officeDocument/2006/relationships">
  <sheetPr codeName="Hoja16">
    <pageSetUpPr fitToPage="1"/>
  </sheetPr>
  <dimension ref="A1:P127"/>
  <sheetViews>
    <sheetView topLeftCell="Q5" workbookViewId="0">
      <selection activeCell="P5" sqref="A1:P65536"/>
    </sheetView>
  </sheetViews>
  <sheetFormatPr baseColWidth="10" defaultColWidth="9.33203125" defaultRowHeight="13.5"/>
  <cols>
    <col min="1" max="1" width="12.6640625" style="285" hidden="1" customWidth="1"/>
    <col min="2" max="2" width="26.6640625" style="285" hidden="1" customWidth="1"/>
    <col min="3" max="3" width="1.33203125" style="299" hidden="1" customWidth="1"/>
    <col min="4" max="4" width="10.1640625" style="286" hidden="1" customWidth="1"/>
    <col min="5" max="5" width="19.6640625" style="336" hidden="1" customWidth="1"/>
    <col min="6" max="6" width="12" style="285" hidden="1" customWidth="1"/>
    <col min="7" max="7" width="19.83203125" style="285" hidden="1" customWidth="1"/>
    <col min="8" max="8" width="27.1640625" style="285" hidden="1" customWidth="1"/>
    <col min="9" max="16" width="9.33203125" style="285" hidden="1" customWidth="1"/>
    <col min="17" max="16384" width="9.33203125" style="285"/>
  </cols>
  <sheetData>
    <row r="1" spans="1:13">
      <c r="A1" s="305"/>
      <c r="D1" s="304"/>
    </row>
    <row r="2" spans="1:13" s="288" customFormat="1" ht="22.5" customHeight="1">
      <c r="A2" s="303"/>
      <c r="B2" s="303"/>
      <c r="C2" s="299"/>
      <c r="D2" s="303"/>
      <c r="E2" s="339"/>
    </row>
    <row r="3" spans="1:13" s="288" customFormat="1">
      <c r="C3" s="299"/>
      <c r="D3" s="300"/>
      <c r="E3" s="337"/>
    </row>
    <row r="4" spans="1:13" s="288" customFormat="1" ht="27">
      <c r="A4" s="302" t="s">
        <v>189</v>
      </c>
      <c r="B4" s="288" t="s">
        <v>188</v>
      </c>
      <c r="C4" s="299"/>
      <c r="D4" s="1003" t="s">
        <v>90</v>
      </c>
      <c r="E4" s="1003"/>
    </row>
    <row r="5" spans="1:13" s="288" customFormat="1">
      <c r="C5" s="299"/>
      <c r="D5" s="301" t="s">
        <v>85</v>
      </c>
      <c r="E5" s="338" t="s">
        <v>84</v>
      </c>
      <c r="H5"/>
      <c r="I5"/>
      <c r="J5"/>
      <c r="K5"/>
      <c r="L5"/>
      <c r="M5"/>
    </row>
    <row r="6" spans="1:13" s="288" customFormat="1">
      <c r="C6" s="299"/>
      <c r="D6" s="300"/>
      <c r="E6" s="337"/>
      <c r="H6"/>
      <c r="I6"/>
      <c r="J6"/>
      <c r="K6"/>
      <c r="L6"/>
      <c r="M6"/>
    </row>
    <row r="7" spans="1:13" s="288" customFormat="1">
      <c r="A7" s="288" t="s">
        <v>187</v>
      </c>
      <c r="B7" s="297" t="s">
        <v>13</v>
      </c>
      <c r="C7" s="299"/>
      <c r="D7" s="422">
        <v>4.2157</v>
      </c>
      <c r="E7" s="421">
        <v>1176.76</v>
      </c>
      <c r="G7" s="297" t="s">
        <v>160</v>
      </c>
      <c r="H7" s="287"/>
      <c r="I7" s="422">
        <v>4.2157</v>
      </c>
      <c r="J7" s="421">
        <v>1176.76</v>
      </c>
      <c r="K7"/>
      <c r="L7"/>
      <c r="M7"/>
    </row>
    <row r="8" spans="1:13" s="288" customFormat="1">
      <c r="A8" s="288" t="s">
        <v>186</v>
      </c>
      <c r="B8" s="297" t="s">
        <v>129</v>
      </c>
      <c r="C8" s="299"/>
      <c r="D8" s="422">
        <v>3.7538</v>
      </c>
      <c r="E8" s="421">
        <v>1176.76</v>
      </c>
      <c r="G8" s="297" t="s">
        <v>159</v>
      </c>
      <c r="H8" s="287"/>
      <c r="I8" s="422">
        <v>3.7538</v>
      </c>
      <c r="J8" s="421">
        <v>1176.76</v>
      </c>
      <c r="K8"/>
      <c r="L8"/>
      <c r="M8"/>
    </row>
    <row r="9" spans="1:13" s="288" customFormat="1">
      <c r="A9" s="288" t="s">
        <v>187</v>
      </c>
      <c r="B9" s="297" t="s">
        <v>20</v>
      </c>
      <c r="C9" s="299"/>
      <c r="D9" s="422">
        <v>4.2725</v>
      </c>
      <c r="E9" s="421">
        <v>1176.76</v>
      </c>
      <c r="G9" s="297" t="s">
        <v>122</v>
      </c>
      <c r="H9" s="287"/>
      <c r="I9" s="422">
        <v>4.2725</v>
      </c>
      <c r="J9" s="421">
        <v>1176.76</v>
      </c>
      <c r="K9"/>
      <c r="L9"/>
      <c r="M9"/>
    </row>
    <row r="10" spans="1:13" s="288" customFormat="1">
      <c r="A10" s="288" t="s">
        <v>184</v>
      </c>
      <c r="B10" s="297" t="s">
        <v>15</v>
      </c>
      <c r="C10" s="299"/>
      <c r="D10" s="422">
        <v>3.3405999999999998</v>
      </c>
      <c r="E10" s="421">
        <v>1176.76</v>
      </c>
      <c r="G10" s="297" t="s">
        <v>15</v>
      </c>
      <c r="H10" s="287"/>
      <c r="I10" s="422">
        <v>3.3405999999999998</v>
      </c>
      <c r="J10" s="421">
        <v>1176.76</v>
      </c>
      <c r="K10"/>
      <c r="L10"/>
      <c r="M10"/>
    </row>
    <row r="11" spans="1:13" s="288" customFormat="1">
      <c r="A11" s="288" t="s">
        <v>183</v>
      </c>
      <c r="B11" s="297" t="s">
        <v>104</v>
      </c>
      <c r="C11" s="299"/>
      <c r="D11" s="396">
        <v>2.6191</v>
      </c>
      <c r="E11" s="395">
        <v>1176.76</v>
      </c>
      <c r="G11" s="297" t="s">
        <v>104</v>
      </c>
      <c r="H11" s="287"/>
      <c r="I11" s="422">
        <v>2.6191</v>
      </c>
      <c r="J11" s="421">
        <v>1176.76</v>
      </c>
      <c r="K11"/>
      <c r="L11"/>
      <c r="M11"/>
    </row>
    <row r="12" spans="1:13" s="288" customFormat="1">
      <c r="A12" s="288" t="s">
        <v>182</v>
      </c>
      <c r="B12" s="297" t="s">
        <v>17</v>
      </c>
      <c r="C12" s="299"/>
      <c r="D12" s="422">
        <v>2.7431999999999999</v>
      </c>
      <c r="E12" s="421">
        <v>1176.76</v>
      </c>
      <c r="G12" s="297" t="s">
        <v>17</v>
      </c>
      <c r="H12" s="287"/>
      <c r="I12" s="422">
        <v>2.7431999999999999</v>
      </c>
      <c r="J12" s="421">
        <v>1176.76</v>
      </c>
      <c r="K12"/>
      <c r="L12"/>
      <c r="M12"/>
    </row>
    <row r="13" spans="1:13" s="288" customFormat="1">
      <c r="A13" s="288" t="s">
        <v>181</v>
      </c>
      <c r="B13" s="297" t="s">
        <v>155</v>
      </c>
      <c r="C13" s="299"/>
      <c r="D13" s="396">
        <v>6.6585000000000001</v>
      </c>
      <c r="E13" s="395">
        <v>1176.76</v>
      </c>
      <c r="G13" s="346" t="s">
        <v>155</v>
      </c>
      <c r="H13" s="345"/>
      <c r="I13" s="422">
        <v>6.6585000000000001</v>
      </c>
      <c r="J13" s="421">
        <v>1176.76</v>
      </c>
      <c r="K13"/>
      <c r="L13"/>
      <c r="M13"/>
    </row>
    <row r="14" spans="1:13" s="288" customFormat="1">
      <c r="A14" s="288" t="s">
        <v>180</v>
      </c>
      <c r="B14" s="297" t="s">
        <v>1</v>
      </c>
      <c r="C14" s="299"/>
      <c r="D14" s="422">
        <v>2.6602000000000001</v>
      </c>
      <c r="E14" s="421">
        <v>1176.76</v>
      </c>
      <c r="G14" s="297" t="s">
        <v>1</v>
      </c>
      <c r="H14" s="287"/>
      <c r="I14" s="422">
        <v>2.6602000000000001</v>
      </c>
      <c r="J14" s="421">
        <v>1176.76</v>
      </c>
      <c r="K14"/>
      <c r="L14"/>
      <c r="M14"/>
    </row>
    <row r="15" spans="1:13" s="288" customFormat="1">
      <c r="A15" s="288" t="s">
        <v>174</v>
      </c>
      <c r="B15" s="297" t="s">
        <v>11</v>
      </c>
      <c r="C15" s="299"/>
      <c r="D15" s="396">
        <v>2.7759999999999998</v>
      </c>
      <c r="E15" s="395">
        <v>1176.76</v>
      </c>
      <c r="G15" s="297" t="s">
        <v>11</v>
      </c>
      <c r="H15" s="287"/>
      <c r="I15" s="422">
        <v>2.7759999999999998</v>
      </c>
      <c r="J15" s="421">
        <v>1176.76</v>
      </c>
      <c r="K15"/>
      <c r="L15"/>
      <c r="M15"/>
    </row>
    <row r="16" spans="1:13" s="288" customFormat="1">
      <c r="A16" s="288" t="s">
        <v>179</v>
      </c>
      <c r="B16" s="297" t="s">
        <v>152</v>
      </c>
      <c r="C16" s="299"/>
      <c r="D16" s="396">
        <v>3.5036</v>
      </c>
      <c r="E16" s="395">
        <v>1176.76</v>
      </c>
      <c r="G16" s="346" t="s">
        <v>152</v>
      </c>
      <c r="H16" s="345"/>
      <c r="I16" s="422">
        <v>3.5034999999999998</v>
      </c>
      <c r="J16" s="421">
        <v>1176.76</v>
      </c>
      <c r="K16"/>
      <c r="L16"/>
      <c r="M16"/>
    </row>
    <row r="17" spans="1:13" s="288" customFormat="1">
      <c r="A17" s="288" t="s">
        <v>172</v>
      </c>
      <c r="B17" s="297" t="s">
        <v>7</v>
      </c>
      <c r="C17" s="299"/>
      <c r="D17" s="396">
        <v>5.5380000000000003</v>
      </c>
      <c r="E17" s="395">
        <v>1176.76</v>
      </c>
      <c r="G17" s="297" t="s">
        <v>7</v>
      </c>
      <c r="H17" s="287"/>
      <c r="I17" s="422">
        <v>5.5380000000000003</v>
      </c>
      <c r="J17" s="421">
        <v>1176.76</v>
      </c>
      <c r="K17"/>
      <c r="L17"/>
      <c r="M17"/>
    </row>
    <row r="18" spans="1:13" s="288" customFormat="1">
      <c r="A18" s="288" t="s">
        <v>178</v>
      </c>
      <c r="B18" s="297" t="s">
        <v>154</v>
      </c>
      <c r="C18" s="299"/>
      <c r="D18" s="396">
        <v>5.4455</v>
      </c>
      <c r="E18" s="395">
        <v>1176.76</v>
      </c>
      <c r="G18" s="346" t="s">
        <v>154</v>
      </c>
      <c r="H18" s="345"/>
      <c r="I18" s="422">
        <v>5.4455</v>
      </c>
      <c r="J18" s="421">
        <v>1176.76</v>
      </c>
      <c r="K18"/>
      <c r="L18"/>
      <c r="M18"/>
    </row>
    <row r="19" spans="1:13" s="288" customFormat="1">
      <c r="A19" s="288" t="s">
        <v>177</v>
      </c>
      <c r="B19" s="297" t="s">
        <v>151</v>
      </c>
      <c r="C19" s="299"/>
      <c r="D19" s="396">
        <v>5.8780999999999999</v>
      </c>
      <c r="E19" s="395">
        <v>1176.76</v>
      </c>
      <c r="G19" s="346" t="s">
        <v>151</v>
      </c>
      <c r="H19" s="345"/>
      <c r="I19" s="422">
        <v>5.8780000000000001</v>
      </c>
      <c r="J19" s="421">
        <v>1176.76</v>
      </c>
      <c r="K19"/>
      <c r="L19"/>
      <c r="M19"/>
    </row>
    <row r="20" spans="1:13" s="288" customFormat="1">
      <c r="A20" s="288" t="s">
        <v>176</v>
      </c>
      <c r="B20" s="297" t="s">
        <v>42</v>
      </c>
      <c r="C20" s="299"/>
      <c r="D20" s="396">
        <v>5.2249999999999996</v>
      </c>
      <c r="E20" s="395">
        <v>2036.97</v>
      </c>
      <c r="G20" s="297" t="s">
        <v>114</v>
      </c>
      <c r="H20" s="287"/>
      <c r="I20" s="422">
        <v>5.2249999999999996</v>
      </c>
      <c r="J20" s="421">
        <v>2036.97</v>
      </c>
      <c r="K20"/>
      <c r="L20"/>
      <c r="M20"/>
    </row>
    <row r="21" spans="1:13" s="288" customFormat="1">
      <c r="A21" s="288" t="s">
        <v>175</v>
      </c>
      <c r="B21" s="297" t="s">
        <v>105</v>
      </c>
      <c r="C21" s="299"/>
      <c r="D21" s="422">
        <v>3.0129999999999999</v>
      </c>
      <c r="E21" s="421">
        <v>1176.76</v>
      </c>
      <c r="G21" s="297" t="s">
        <v>105</v>
      </c>
      <c r="H21" s="287"/>
      <c r="I21" s="422">
        <v>3.0129999999999999</v>
      </c>
      <c r="J21" s="421">
        <v>1176.76</v>
      </c>
      <c r="K21"/>
      <c r="L21"/>
      <c r="M21"/>
    </row>
    <row r="22" spans="1:13" s="288" customFormat="1">
      <c r="B22" s="297"/>
      <c r="C22" s="299"/>
      <c r="D22" s="396"/>
      <c r="E22" s="395"/>
      <c r="G22" s="297" t="s">
        <v>106</v>
      </c>
      <c r="H22" s="287"/>
      <c r="I22" s="420"/>
      <c r="J22" s="421"/>
      <c r="K22"/>
      <c r="L22"/>
      <c r="M22"/>
    </row>
    <row r="23" spans="1:13" s="288" customFormat="1">
      <c r="A23" s="288" t="s">
        <v>174</v>
      </c>
      <c r="B23" s="297" t="s">
        <v>44</v>
      </c>
      <c r="C23" s="299"/>
      <c r="D23" s="396">
        <v>5.0339999999999998</v>
      </c>
      <c r="E23" s="395">
        <v>2036.97</v>
      </c>
      <c r="G23" s="297" t="s">
        <v>44</v>
      </c>
      <c r="H23" s="287"/>
      <c r="I23" s="422">
        <v>5.0339999999999998</v>
      </c>
      <c r="J23" s="421">
        <v>2036.97</v>
      </c>
      <c r="K23"/>
      <c r="L23"/>
      <c r="M23"/>
    </row>
    <row r="24" spans="1:13" s="288" customFormat="1">
      <c r="A24" s="288" t="s">
        <v>167</v>
      </c>
      <c r="B24" s="297" t="s">
        <v>55</v>
      </c>
      <c r="C24" s="299"/>
      <c r="D24" s="393">
        <v>5.3773</v>
      </c>
      <c r="E24" s="392">
        <v>2036.97</v>
      </c>
      <c r="G24" s="297" t="s">
        <v>148</v>
      </c>
      <c r="H24" s="287"/>
      <c r="I24" s="420"/>
      <c r="J24" s="421"/>
      <c r="K24"/>
      <c r="L24"/>
      <c r="M24"/>
    </row>
    <row r="25" spans="1:13" s="288" customFormat="1">
      <c r="A25" s="288" t="s">
        <v>173</v>
      </c>
      <c r="B25" s="297" t="s">
        <v>150</v>
      </c>
      <c r="C25" s="299"/>
      <c r="D25" s="393">
        <v>6.1231999999999998</v>
      </c>
      <c r="E25" s="392">
        <v>2036.97</v>
      </c>
      <c r="G25" s="297" t="s">
        <v>150</v>
      </c>
      <c r="H25" s="287"/>
      <c r="I25" s="422">
        <v>6.1231999999999998</v>
      </c>
      <c r="J25" s="421">
        <v>2036.97</v>
      </c>
      <c r="K25"/>
      <c r="L25"/>
      <c r="M25"/>
    </row>
    <row r="26" spans="1:13" s="288" customFormat="1">
      <c r="A26" s="288" t="s">
        <v>172</v>
      </c>
      <c r="B26" s="297" t="s">
        <v>50</v>
      </c>
      <c r="C26" s="299"/>
      <c r="D26" s="422">
        <v>4.9462000000000002</v>
      </c>
      <c r="E26" s="421">
        <v>2036.97</v>
      </c>
      <c r="G26" s="297" t="s">
        <v>50</v>
      </c>
      <c r="H26" s="287"/>
      <c r="I26" s="422">
        <v>4.9462000000000002</v>
      </c>
      <c r="J26" s="421">
        <v>2036.97</v>
      </c>
      <c r="K26"/>
      <c r="L26"/>
      <c r="M26"/>
    </row>
    <row r="27" spans="1:13" s="288" customFormat="1">
      <c r="A27" s="288" t="s">
        <v>171</v>
      </c>
      <c r="B27" s="288" t="s">
        <v>46</v>
      </c>
      <c r="D27" s="393">
        <v>5.3775000000000004</v>
      </c>
      <c r="E27" s="392">
        <v>2036.97</v>
      </c>
      <c r="G27" s="288" t="s">
        <v>46</v>
      </c>
      <c r="I27" s="422">
        <v>5.3775000000000004</v>
      </c>
      <c r="J27" s="421">
        <v>2036.97</v>
      </c>
      <c r="K27"/>
      <c r="L27"/>
      <c r="M27"/>
    </row>
    <row r="28" spans="1:13" s="288" customFormat="1">
      <c r="A28" s="288" t="s">
        <v>170</v>
      </c>
      <c r="B28" s="297" t="s">
        <v>52</v>
      </c>
      <c r="C28" s="299"/>
      <c r="D28" s="393">
        <v>5.5368000000000004</v>
      </c>
      <c r="E28" s="392">
        <v>2036.78</v>
      </c>
      <c r="G28" s="297" t="s">
        <v>52</v>
      </c>
      <c r="H28" s="287"/>
      <c r="I28" s="422">
        <v>5.5368000000000004</v>
      </c>
      <c r="J28" s="421">
        <v>2036.78</v>
      </c>
      <c r="K28"/>
      <c r="L28"/>
      <c r="M28"/>
    </row>
    <row r="29" spans="1:13" s="288" customFormat="1">
      <c r="A29" s="288" t="s">
        <v>191</v>
      </c>
      <c r="B29" s="297" t="s">
        <v>149</v>
      </c>
      <c r="C29" s="299"/>
      <c r="D29" s="393">
        <v>4.4687000000000001</v>
      </c>
      <c r="E29" s="392">
        <v>4119.08</v>
      </c>
      <c r="G29" s="297" t="s">
        <v>149</v>
      </c>
      <c r="H29" s="287"/>
      <c r="I29" s="422">
        <v>4.4687000000000001</v>
      </c>
      <c r="J29" s="421">
        <v>4253.3900000000003</v>
      </c>
      <c r="K29"/>
      <c r="L29"/>
      <c r="M29"/>
    </row>
    <row r="30" spans="1:13" s="288" customFormat="1">
      <c r="A30" s="288" t="s">
        <v>171</v>
      </c>
      <c r="B30" s="297" t="s">
        <v>141</v>
      </c>
      <c r="C30" s="299"/>
      <c r="D30" s="393">
        <v>4.0838000000000001</v>
      </c>
      <c r="E30" s="392">
        <v>4119.08</v>
      </c>
      <c r="G30" s="297" t="s">
        <v>141</v>
      </c>
      <c r="H30" s="287"/>
      <c r="I30" s="422">
        <v>4.0838000000000001</v>
      </c>
      <c r="J30" s="421">
        <v>4253.3900000000003</v>
      </c>
      <c r="K30"/>
      <c r="L30"/>
      <c r="M30"/>
    </row>
    <row r="31" spans="1:13" s="288" customFormat="1">
      <c r="A31" s="288" t="s">
        <v>169</v>
      </c>
      <c r="B31" s="297" t="s">
        <v>112</v>
      </c>
      <c r="C31" s="299"/>
      <c r="D31" s="393">
        <v>5.7851999999999997</v>
      </c>
      <c r="E31" s="392">
        <v>1176.76</v>
      </c>
      <c r="G31" s="297" t="s">
        <v>112</v>
      </c>
      <c r="H31" s="287"/>
      <c r="I31" s="422">
        <v>5.7851999999999997</v>
      </c>
      <c r="J31" s="421">
        <v>1176.76</v>
      </c>
      <c r="K31"/>
      <c r="L31"/>
      <c r="M31"/>
    </row>
    <row r="32" spans="1:13" s="288" customFormat="1">
      <c r="A32" s="288" t="s">
        <v>168</v>
      </c>
      <c r="B32" s="297" t="s">
        <v>111</v>
      </c>
      <c r="C32" s="299"/>
      <c r="D32" s="393">
        <v>5.8160999999999996</v>
      </c>
      <c r="E32" s="392">
        <v>2036.97</v>
      </c>
      <c r="G32" s="297" t="s">
        <v>111</v>
      </c>
      <c r="H32" s="287"/>
      <c r="I32" s="422">
        <v>5.8159999999999998</v>
      </c>
      <c r="J32" s="421">
        <v>2036.97</v>
      </c>
      <c r="K32"/>
      <c r="L32"/>
      <c r="M32"/>
    </row>
    <row r="33" spans="1:13" s="288" customFormat="1">
      <c r="A33" s="288" t="s">
        <v>166</v>
      </c>
      <c r="B33" s="288" t="s">
        <v>107</v>
      </c>
      <c r="C33" s="299"/>
      <c r="D33" s="393">
        <v>13.2662</v>
      </c>
      <c r="E33" s="392">
        <v>2036.97</v>
      </c>
      <c r="G33" s="297" t="s">
        <v>222</v>
      </c>
      <c r="H33" s="287"/>
      <c r="I33" s="422">
        <v>6.6585999999999999</v>
      </c>
      <c r="J33" s="421">
        <v>1176.76</v>
      </c>
      <c r="K33"/>
      <c r="L33"/>
      <c r="M33"/>
    </row>
    <row r="34" spans="1:13" s="288" customFormat="1">
      <c r="C34" s="299"/>
      <c r="D34" s="289"/>
      <c r="E34" s="337"/>
      <c r="G34" s="288" t="s">
        <v>55</v>
      </c>
      <c r="H34" s="287"/>
      <c r="I34" s="422">
        <v>5.3773</v>
      </c>
      <c r="J34" s="421">
        <v>2036.97</v>
      </c>
      <c r="K34"/>
      <c r="L34"/>
      <c r="M34"/>
    </row>
    <row r="35" spans="1:13" s="288" customFormat="1">
      <c r="C35" s="299"/>
      <c r="D35" s="289"/>
      <c r="E35" s="337"/>
      <c r="G35" s="288" t="s">
        <v>107</v>
      </c>
      <c r="H35" s="287"/>
      <c r="I35" s="422">
        <v>13.2662</v>
      </c>
      <c r="J35" s="421">
        <v>2036.97</v>
      </c>
      <c r="K35"/>
      <c r="L35"/>
      <c r="M35"/>
    </row>
    <row r="36" spans="1:13" s="288" customFormat="1">
      <c r="C36" s="299"/>
      <c r="D36" s="289"/>
      <c r="E36" s="337"/>
      <c r="H36"/>
      <c r="I36"/>
      <c r="J36"/>
      <c r="K36"/>
      <c r="L36"/>
      <c r="M36"/>
    </row>
    <row r="37" spans="1:13" s="288" customFormat="1">
      <c r="C37" s="299"/>
      <c r="D37" s="289"/>
      <c r="E37" s="337"/>
      <c r="H37"/>
      <c r="I37"/>
      <c r="J37"/>
      <c r="K37"/>
      <c r="L37"/>
      <c r="M37"/>
    </row>
    <row r="38" spans="1:13" s="288" customFormat="1">
      <c r="C38" s="299"/>
      <c r="D38" s="289"/>
      <c r="E38" s="337"/>
    </row>
    <row r="39" spans="1:13" s="288" customFormat="1">
      <c r="C39" s="299"/>
      <c r="D39" s="289"/>
      <c r="E39" s="337"/>
    </row>
    <row r="40" spans="1:13" s="288" customFormat="1">
      <c r="C40" s="299"/>
      <c r="D40" s="289"/>
      <c r="E40" s="337"/>
    </row>
    <row r="41" spans="1:13" s="288" customFormat="1">
      <c r="C41" s="299"/>
      <c r="D41" s="289"/>
      <c r="E41" s="337"/>
    </row>
    <row r="42" spans="1:13" s="288" customFormat="1">
      <c r="C42" s="299"/>
      <c r="D42" s="289"/>
      <c r="E42" s="337"/>
    </row>
    <row r="43" spans="1:13" s="288" customFormat="1">
      <c r="C43" s="299"/>
      <c r="D43" s="289"/>
      <c r="E43" s="337"/>
    </row>
    <row r="44" spans="1:13" s="288" customFormat="1">
      <c r="C44" s="299"/>
      <c r="D44" s="289"/>
      <c r="E44" s="337"/>
    </row>
    <row r="45" spans="1:13" s="288" customFormat="1">
      <c r="C45" s="299"/>
      <c r="D45" s="289"/>
      <c r="E45" s="337"/>
    </row>
    <row r="46" spans="1:13" s="288" customFormat="1">
      <c r="C46" s="299"/>
      <c r="D46" s="289"/>
      <c r="E46" s="337"/>
    </row>
    <row r="47" spans="1:13" s="288" customFormat="1">
      <c r="C47" s="299"/>
      <c r="D47" s="289"/>
      <c r="E47" s="337"/>
    </row>
    <row r="48" spans="1:13" s="288" customFormat="1">
      <c r="C48" s="299"/>
      <c r="D48" s="289"/>
      <c r="E48" s="337"/>
    </row>
    <row r="49" spans="3:10" s="288" customFormat="1">
      <c r="C49" s="299"/>
      <c r="D49" s="289"/>
      <c r="E49" s="337"/>
    </row>
    <row r="50" spans="3:10" s="288" customFormat="1">
      <c r="C50" s="299"/>
      <c r="D50" s="289"/>
      <c r="E50" s="337"/>
    </row>
    <row r="51" spans="3:10" s="288" customFormat="1">
      <c r="C51" s="299"/>
      <c r="D51" s="289"/>
      <c r="E51" s="337"/>
    </row>
    <row r="52" spans="3:10" s="288" customFormat="1">
      <c r="C52" s="299"/>
      <c r="D52" s="289"/>
      <c r="E52" s="337"/>
    </row>
    <row r="53" spans="3:10" s="288" customFormat="1">
      <c r="C53" s="299"/>
      <c r="D53" s="289"/>
      <c r="E53" s="337"/>
    </row>
    <row r="54" spans="3:10" s="288" customFormat="1">
      <c r="C54" s="299"/>
      <c r="D54" s="289"/>
      <c r="E54" s="337"/>
    </row>
    <row r="55" spans="3:10" s="288" customFormat="1">
      <c r="C55" s="299"/>
      <c r="D55" s="289"/>
      <c r="E55" s="337"/>
    </row>
    <row r="56" spans="3:10" s="288" customFormat="1">
      <c r="C56" s="299"/>
      <c r="D56" s="289"/>
      <c r="E56" s="337"/>
    </row>
    <row r="57" spans="3:10" s="288" customFormat="1">
      <c r="C57" s="299"/>
      <c r="D57" s="289"/>
      <c r="E57" s="337"/>
    </row>
    <row r="58" spans="3:10" s="288" customFormat="1">
      <c r="C58" s="299"/>
      <c r="D58" s="289"/>
      <c r="E58" s="337"/>
    </row>
    <row r="59" spans="3:10" s="288" customFormat="1">
      <c r="C59" s="299"/>
      <c r="D59" s="289"/>
      <c r="E59" s="337"/>
    </row>
    <row r="60" spans="3:10" s="288" customFormat="1">
      <c r="C60" s="299"/>
      <c r="D60" s="289"/>
      <c r="E60" s="337"/>
    </row>
    <row r="61" spans="3:10" s="288" customFormat="1">
      <c r="C61" s="299"/>
      <c r="D61" s="289"/>
      <c r="E61" s="337"/>
    </row>
    <row r="62" spans="3:10" s="288" customFormat="1">
      <c r="C62" s="299"/>
      <c r="D62" s="289"/>
      <c r="E62" s="337"/>
    </row>
    <row r="63" spans="3:10" s="288" customFormat="1">
      <c r="C63" s="299"/>
      <c r="D63" s="289"/>
      <c r="E63" s="337"/>
      <c r="H63" s="291"/>
      <c r="J63" s="290"/>
    </row>
    <row r="64" spans="3:10" s="288" customFormat="1">
      <c r="C64" s="299"/>
      <c r="D64" s="289"/>
      <c r="E64" s="337"/>
    </row>
    <row r="65" spans="3:5" s="288" customFormat="1">
      <c r="C65" s="299"/>
      <c r="D65" s="289"/>
      <c r="E65" s="337"/>
    </row>
    <row r="66" spans="3:5" s="288" customFormat="1">
      <c r="C66" s="299"/>
      <c r="D66" s="289"/>
      <c r="E66" s="337"/>
    </row>
    <row r="67" spans="3:5" s="288" customFormat="1">
      <c r="C67" s="299"/>
      <c r="D67" s="289"/>
      <c r="E67" s="337"/>
    </row>
    <row r="68" spans="3:5" s="288" customFormat="1">
      <c r="C68" s="299"/>
      <c r="D68" s="289"/>
      <c r="E68" s="337"/>
    </row>
    <row r="69" spans="3:5" s="288" customFormat="1">
      <c r="C69" s="299"/>
      <c r="D69" s="289"/>
      <c r="E69" s="337"/>
    </row>
    <row r="70" spans="3:5" s="288" customFormat="1">
      <c r="C70" s="299"/>
      <c r="D70" s="289"/>
      <c r="E70" s="337"/>
    </row>
    <row r="71" spans="3:5" s="288" customFormat="1">
      <c r="C71" s="299"/>
      <c r="D71" s="289"/>
      <c r="E71" s="337"/>
    </row>
    <row r="72" spans="3:5" s="288" customFormat="1">
      <c r="C72" s="299"/>
      <c r="D72" s="289"/>
      <c r="E72" s="337"/>
    </row>
    <row r="73" spans="3:5" s="288" customFormat="1">
      <c r="C73" s="299"/>
      <c r="D73" s="289"/>
      <c r="E73" s="337"/>
    </row>
    <row r="74" spans="3:5" s="288" customFormat="1">
      <c r="C74" s="299"/>
      <c r="D74" s="289"/>
      <c r="E74" s="337"/>
    </row>
    <row r="75" spans="3:5" s="288" customFormat="1">
      <c r="C75" s="299"/>
      <c r="D75" s="289"/>
      <c r="E75" s="337"/>
    </row>
    <row r="76" spans="3:5" s="288" customFormat="1">
      <c r="C76" s="299"/>
      <c r="D76" s="289"/>
      <c r="E76" s="337"/>
    </row>
    <row r="77" spans="3:5" s="288" customFormat="1">
      <c r="C77" s="299"/>
      <c r="D77" s="289"/>
      <c r="E77" s="337"/>
    </row>
    <row r="78" spans="3:5" s="288" customFormat="1">
      <c r="C78" s="299"/>
      <c r="D78" s="289"/>
      <c r="E78" s="337"/>
    </row>
    <row r="79" spans="3:5" s="288" customFormat="1">
      <c r="C79" s="299"/>
      <c r="D79" s="289"/>
      <c r="E79" s="337"/>
    </row>
    <row r="80" spans="3:5" s="288" customFormat="1">
      <c r="C80" s="299"/>
      <c r="D80" s="289"/>
      <c r="E80" s="337"/>
    </row>
    <row r="81" spans="3:5" s="288" customFormat="1">
      <c r="C81" s="299"/>
      <c r="D81" s="289"/>
      <c r="E81" s="337"/>
    </row>
    <row r="82" spans="3:5" s="288" customFormat="1">
      <c r="C82" s="299"/>
      <c r="D82" s="289"/>
      <c r="E82" s="337"/>
    </row>
    <row r="83" spans="3:5" s="288" customFormat="1">
      <c r="C83" s="299"/>
      <c r="D83" s="289"/>
      <c r="E83" s="337"/>
    </row>
    <row r="84" spans="3:5" s="288" customFormat="1">
      <c r="C84" s="299"/>
      <c r="D84" s="289"/>
      <c r="E84" s="337"/>
    </row>
    <row r="85" spans="3:5" s="288" customFormat="1">
      <c r="C85" s="299"/>
      <c r="D85" s="289"/>
      <c r="E85" s="337"/>
    </row>
    <row r="86" spans="3:5" s="288" customFormat="1">
      <c r="C86" s="299"/>
      <c r="D86" s="289"/>
      <c r="E86" s="337"/>
    </row>
    <row r="87" spans="3:5" s="288" customFormat="1">
      <c r="C87" s="299"/>
      <c r="D87" s="289"/>
      <c r="E87" s="337"/>
    </row>
    <row r="88" spans="3:5" s="288" customFormat="1">
      <c r="C88" s="299"/>
      <c r="D88" s="289"/>
      <c r="E88" s="337"/>
    </row>
    <row r="89" spans="3:5" s="288" customFormat="1">
      <c r="C89" s="299"/>
      <c r="D89" s="289"/>
      <c r="E89" s="337"/>
    </row>
    <row r="90" spans="3:5" s="288" customFormat="1">
      <c r="C90" s="299"/>
      <c r="D90" s="289"/>
      <c r="E90" s="337"/>
    </row>
    <row r="91" spans="3:5" s="288" customFormat="1">
      <c r="C91" s="299"/>
      <c r="D91" s="289"/>
      <c r="E91" s="337"/>
    </row>
    <row r="92" spans="3:5" s="288" customFormat="1">
      <c r="C92" s="299"/>
      <c r="D92" s="289"/>
      <c r="E92" s="337"/>
    </row>
    <row r="93" spans="3:5" s="288" customFormat="1">
      <c r="C93" s="299"/>
      <c r="D93" s="289"/>
      <c r="E93" s="337"/>
    </row>
    <row r="94" spans="3:5" s="288" customFormat="1">
      <c r="C94" s="299"/>
      <c r="D94" s="289"/>
      <c r="E94" s="337"/>
    </row>
    <row r="95" spans="3:5" s="288" customFormat="1">
      <c r="C95" s="299"/>
      <c r="D95" s="289"/>
      <c r="E95" s="337"/>
    </row>
    <row r="96" spans="3:5" s="288" customFormat="1">
      <c r="C96" s="299"/>
      <c r="D96" s="289"/>
      <c r="E96" s="337"/>
    </row>
    <row r="97" spans="3:5" s="288" customFormat="1">
      <c r="C97" s="299"/>
      <c r="D97" s="289"/>
      <c r="E97" s="337"/>
    </row>
    <row r="98" spans="3:5" s="288" customFormat="1">
      <c r="C98" s="299"/>
      <c r="D98" s="289"/>
      <c r="E98" s="337"/>
    </row>
    <row r="99" spans="3:5" s="288" customFormat="1">
      <c r="C99" s="299"/>
      <c r="D99" s="289"/>
      <c r="E99" s="337"/>
    </row>
    <row r="100" spans="3:5" s="288" customFormat="1">
      <c r="C100" s="299"/>
      <c r="D100" s="289"/>
      <c r="E100" s="337"/>
    </row>
    <row r="101" spans="3:5" s="288" customFormat="1">
      <c r="C101" s="299"/>
      <c r="D101" s="289"/>
      <c r="E101" s="337"/>
    </row>
    <row r="102" spans="3:5" s="288" customFormat="1">
      <c r="C102" s="299"/>
      <c r="D102" s="289"/>
      <c r="E102" s="337"/>
    </row>
    <row r="103" spans="3:5" s="288" customFormat="1">
      <c r="C103" s="299"/>
      <c r="D103" s="289"/>
      <c r="E103" s="337"/>
    </row>
    <row r="104" spans="3:5" s="288" customFormat="1">
      <c r="C104" s="299"/>
      <c r="D104" s="289"/>
      <c r="E104" s="337"/>
    </row>
    <row r="105" spans="3:5" s="288" customFormat="1">
      <c r="C105" s="299"/>
      <c r="D105" s="289"/>
      <c r="E105" s="337"/>
    </row>
    <row r="106" spans="3:5" s="288" customFormat="1">
      <c r="C106" s="299"/>
      <c r="D106" s="289"/>
      <c r="E106" s="337"/>
    </row>
    <row r="107" spans="3:5" s="288" customFormat="1">
      <c r="C107" s="299"/>
      <c r="D107" s="289"/>
      <c r="E107" s="337"/>
    </row>
    <row r="108" spans="3:5" s="288" customFormat="1">
      <c r="C108" s="299"/>
      <c r="D108" s="289"/>
      <c r="E108" s="337"/>
    </row>
    <row r="109" spans="3:5" s="288" customFormat="1">
      <c r="C109" s="299"/>
      <c r="D109" s="289"/>
      <c r="E109" s="337"/>
    </row>
    <row r="110" spans="3:5" s="288" customFormat="1">
      <c r="C110" s="299"/>
      <c r="D110" s="289"/>
      <c r="E110" s="337"/>
    </row>
    <row r="111" spans="3:5" s="288" customFormat="1">
      <c r="C111" s="299"/>
      <c r="D111" s="289"/>
      <c r="E111" s="337"/>
    </row>
    <row r="112" spans="3:5" s="288" customFormat="1">
      <c r="C112" s="299"/>
      <c r="D112" s="289"/>
      <c r="E112" s="337"/>
    </row>
    <row r="113" spans="3:5" s="288" customFormat="1">
      <c r="C113" s="299"/>
      <c r="D113" s="289"/>
      <c r="E113" s="337"/>
    </row>
    <row r="114" spans="3:5" s="288" customFormat="1">
      <c r="C114" s="299"/>
      <c r="D114" s="289"/>
      <c r="E114" s="337"/>
    </row>
    <row r="115" spans="3:5" s="288" customFormat="1">
      <c r="C115" s="299"/>
      <c r="D115" s="289"/>
      <c r="E115" s="337"/>
    </row>
    <row r="116" spans="3:5" s="288" customFormat="1">
      <c r="C116" s="299"/>
      <c r="D116" s="289"/>
      <c r="E116" s="337"/>
    </row>
    <row r="117" spans="3:5" s="288" customFormat="1">
      <c r="C117" s="299"/>
      <c r="D117" s="289"/>
      <c r="E117" s="337"/>
    </row>
    <row r="118" spans="3:5" s="288" customFormat="1">
      <c r="C118" s="299"/>
      <c r="D118" s="289"/>
      <c r="E118" s="337"/>
    </row>
    <row r="119" spans="3:5" s="288" customFormat="1">
      <c r="C119" s="299"/>
      <c r="D119" s="289"/>
      <c r="E119" s="337"/>
    </row>
    <row r="120" spans="3:5" s="288" customFormat="1">
      <c r="C120" s="299"/>
      <c r="D120" s="289"/>
      <c r="E120" s="337"/>
    </row>
    <row r="121" spans="3:5" s="288" customFormat="1">
      <c r="C121" s="299"/>
      <c r="D121" s="289"/>
      <c r="E121" s="337"/>
    </row>
    <row r="122" spans="3:5" s="288" customFormat="1">
      <c r="C122" s="299"/>
      <c r="D122" s="289"/>
      <c r="E122" s="337"/>
    </row>
    <row r="123" spans="3:5" s="288" customFormat="1">
      <c r="C123" s="299"/>
      <c r="D123" s="289"/>
      <c r="E123" s="337"/>
    </row>
    <row r="124" spans="3:5" s="288" customFormat="1">
      <c r="C124" s="299"/>
      <c r="D124" s="289"/>
      <c r="E124" s="337"/>
    </row>
    <row r="125" spans="3:5" s="288" customFormat="1">
      <c r="C125" s="299"/>
      <c r="D125" s="289"/>
      <c r="E125" s="337"/>
    </row>
    <row r="126" spans="3:5" s="288" customFormat="1">
      <c r="C126" s="299"/>
      <c r="D126" s="289"/>
      <c r="E126" s="337"/>
    </row>
    <row r="127" spans="3:5" s="288" customFormat="1">
      <c r="C127" s="299"/>
      <c r="D127" s="289"/>
      <c r="E127" s="337"/>
    </row>
  </sheetData>
  <sheetProtection password="F4F5" sheet="1" objects="1" scenarios="1" selectLockedCells="1" selectUnlockedCells="1"/>
  <mergeCells count="1">
    <mergeCell ref="D4:E4"/>
  </mergeCells>
  <printOptions horizontalCentered="1" verticalCentered="1"/>
  <pageMargins left="0.75" right="0.75" top="1" bottom="1" header="0" footer="0"/>
  <pageSetup orientation="landscape" r:id="rId1"/>
  <headerFooter alignWithMargins="0"/>
</worksheet>
</file>

<file path=xl/worksheets/sheet18.xml><?xml version="1.0" encoding="utf-8"?>
<worksheet xmlns="http://schemas.openxmlformats.org/spreadsheetml/2006/main" xmlns:r="http://schemas.openxmlformats.org/officeDocument/2006/relationships">
  <sheetPr codeName="Hoja17">
    <pageSetUpPr fitToPage="1"/>
  </sheetPr>
  <dimension ref="A2:H70"/>
  <sheetViews>
    <sheetView topLeftCell="I26" workbookViewId="0">
      <selection activeCell="H26" sqref="A1:H65536"/>
    </sheetView>
  </sheetViews>
  <sheetFormatPr baseColWidth="10" defaultColWidth="9.33203125" defaultRowHeight="12.75"/>
  <cols>
    <col min="1" max="2" width="12" style="306" hidden="1" customWidth="1"/>
    <col min="3" max="3" width="7.6640625" style="306" hidden="1" customWidth="1"/>
    <col min="4" max="8" width="9.33203125" style="306" hidden="1" customWidth="1"/>
    <col min="9" max="16384" width="9.33203125" style="306"/>
  </cols>
  <sheetData>
    <row r="2" spans="1:6" ht="18">
      <c r="A2" s="321" t="s">
        <v>25</v>
      </c>
      <c r="B2" s="320"/>
      <c r="D2" s="316"/>
    </row>
    <row r="3" spans="1:6" ht="18">
      <c r="A3" s="321" t="s">
        <v>26</v>
      </c>
      <c r="B3" s="320"/>
      <c r="D3" s="316"/>
    </row>
    <row r="4" spans="1:6" ht="13.5" thickBot="1">
      <c r="A4" s="319"/>
      <c r="B4" s="318"/>
      <c r="C4" s="317"/>
      <c r="D4" s="317"/>
    </row>
    <row r="5" spans="1:6" ht="13.5" thickTop="1">
      <c r="A5" s="316"/>
      <c r="B5" s="316"/>
      <c r="C5" s="316"/>
    </row>
    <row r="8" spans="1:6">
      <c r="A8" s="315" t="s">
        <v>27</v>
      </c>
      <c r="B8" s="315" t="s">
        <v>28</v>
      </c>
    </row>
    <row r="9" spans="1:6">
      <c r="A9" s="314" t="s">
        <v>29</v>
      </c>
      <c r="B9" s="314" t="s">
        <v>27</v>
      </c>
    </row>
    <row r="10" spans="1:6">
      <c r="A10" s="313"/>
      <c r="B10" s="313"/>
    </row>
    <row r="11" spans="1:6">
      <c r="A11" s="312">
        <v>1</v>
      </c>
      <c r="B11" s="355">
        <v>8.3299999999999999E-2</v>
      </c>
      <c r="C11" s="309"/>
      <c r="E11" s="308"/>
      <c r="F11" s="307"/>
    </row>
    <row r="12" spans="1:6">
      <c r="A12" s="312">
        <v>2</v>
      </c>
      <c r="B12" s="354">
        <v>0.16669999999999999</v>
      </c>
      <c r="C12" s="309"/>
      <c r="E12" s="308"/>
      <c r="F12" s="307"/>
    </row>
    <row r="13" spans="1:6">
      <c r="A13" s="312">
        <v>3</v>
      </c>
      <c r="B13" s="355">
        <v>0.25</v>
      </c>
      <c r="C13" s="309"/>
      <c r="E13" s="308"/>
      <c r="F13" s="307"/>
    </row>
    <row r="14" spans="1:6">
      <c r="A14" s="312">
        <v>4</v>
      </c>
      <c r="B14" s="355">
        <v>0.33329999999999999</v>
      </c>
      <c r="C14" s="309"/>
      <c r="E14" s="308"/>
      <c r="F14" s="307"/>
    </row>
    <row r="15" spans="1:6">
      <c r="A15" s="312">
        <v>5</v>
      </c>
      <c r="B15" s="355">
        <v>0.41670000000000001</v>
      </c>
      <c r="C15" s="309"/>
      <c r="E15" s="308"/>
      <c r="F15" s="307"/>
    </row>
    <row r="16" spans="1:6">
      <c r="A16" s="312">
        <v>6</v>
      </c>
      <c r="B16" s="354">
        <v>0.5</v>
      </c>
      <c r="C16" s="309"/>
      <c r="E16" s="308"/>
      <c r="F16" s="307"/>
    </row>
    <row r="17" spans="1:6">
      <c r="A17" s="312">
        <v>7</v>
      </c>
      <c r="B17" s="355">
        <v>0.58330000000000004</v>
      </c>
      <c r="C17" s="309"/>
      <c r="E17" s="308"/>
      <c r="F17" s="307"/>
    </row>
    <row r="18" spans="1:6">
      <c r="A18" s="312">
        <v>8</v>
      </c>
      <c r="B18" s="355">
        <v>0.66669999999999996</v>
      </c>
      <c r="C18" s="309"/>
      <c r="E18" s="308"/>
      <c r="F18" s="307"/>
    </row>
    <row r="19" spans="1:6">
      <c r="A19" s="312">
        <v>9</v>
      </c>
      <c r="B19" s="355">
        <v>0.75</v>
      </c>
      <c r="C19" s="309"/>
      <c r="E19" s="308"/>
      <c r="F19" s="307"/>
    </row>
    <row r="20" spans="1:6">
      <c r="A20" s="312">
        <v>10</v>
      </c>
      <c r="B20" s="355">
        <v>0.83330000000000004</v>
      </c>
      <c r="C20" s="309"/>
      <c r="E20" s="308"/>
      <c r="F20" s="307"/>
    </row>
    <row r="21" spans="1:6">
      <c r="A21" s="312">
        <v>11</v>
      </c>
      <c r="B21" s="355">
        <v>0.91669999999999996</v>
      </c>
      <c r="C21" s="309"/>
      <c r="E21" s="308"/>
      <c r="F21" s="307"/>
    </row>
    <row r="22" spans="1:6">
      <c r="A22" s="311">
        <v>12</v>
      </c>
      <c r="B22" s="354">
        <v>1</v>
      </c>
      <c r="C22" s="309"/>
      <c r="E22" s="308"/>
      <c r="F22" s="307"/>
    </row>
    <row r="23" spans="1:6">
      <c r="A23" s="312">
        <v>13</v>
      </c>
      <c r="B23" s="355">
        <v>1.0832999999999999</v>
      </c>
      <c r="C23" s="309"/>
      <c r="E23" s="308"/>
      <c r="F23" s="307"/>
    </row>
    <row r="24" spans="1:6">
      <c r="A24" s="312">
        <v>14</v>
      </c>
      <c r="B24" s="355">
        <v>1.1667000000000001</v>
      </c>
      <c r="C24" s="309"/>
      <c r="E24" s="308"/>
      <c r="F24" s="307"/>
    </row>
    <row r="25" spans="1:6">
      <c r="A25" s="312">
        <v>15</v>
      </c>
      <c r="B25" s="355">
        <v>1.25</v>
      </c>
      <c r="C25" s="309"/>
      <c r="E25" s="308"/>
      <c r="F25" s="307"/>
    </row>
    <row r="26" spans="1:6">
      <c r="A26" s="312">
        <v>16</v>
      </c>
      <c r="B26" s="355">
        <v>1.3332999999999999</v>
      </c>
      <c r="C26" s="309"/>
      <c r="E26" s="308"/>
      <c r="F26" s="307"/>
    </row>
    <row r="27" spans="1:6">
      <c r="A27" s="312">
        <v>17</v>
      </c>
      <c r="B27" s="355">
        <v>1.4167000000000001</v>
      </c>
      <c r="C27" s="309"/>
      <c r="E27" s="308"/>
      <c r="F27" s="307"/>
    </row>
    <row r="28" spans="1:6">
      <c r="A28" s="312">
        <v>18</v>
      </c>
      <c r="B28" s="354">
        <v>1.5</v>
      </c>
      <c r="C28" s="309"/>
      <c r="E28" s="308"/>
      <c r="F28" s="307"/>
    </row>
    <row r="29" spans="1:6">
      <c r="A29" s="312">
        <v>19</v>
      </c>
      <c r="B29" s="355">
        <v>1.5832999999999999</v>
      </c>
      <c r="C29" s="309"/>
      <c r="E29" s="308"/>
      <c r="F29" s="307"/>
    </row>
    <row r="30" spans="1:6">
      <c r="A30" s="312">
        <v>20</v>
      </c>
      <c r="B30" s="355">
        <v>1.6667000000000001</v>
      </c>
      <c r="C30" s="309"/>
      <c r="E30" s="308"/>
      <c r="F30" s="307"/>
    </row>
    <row r="31" spans="1:6">
      <c r="A31" s="312">
        <v>21</v>
      </c>
      <c r="B31" s="355">
        <v>1.75</v>
      </c>
      <c r="C31" s="309"/>
      <c r="E31" s="308"/>
      <c r="F31" s="307"/>
    </row>
    <row r="32" spans="1:6">
      <c r="A32" s="312">
        <v>22</v>
      </c>
      <c r="B32" s="355">
        <v>1.8332999999999999</v>
      </c>
      <c r="C32" s="309"/>
      <c r="E32" s="308"/>
      <c r="F32" s="307"/>
    </row>
    <row r="33" spans="1:6">
      <c r="A33" s="312">
        <v>23</v>
      </c>
      <c r="B33" s="355">
        <v>1.9167000000000001</v>
      </c>
      <c r="C33" s="309"/>
      <c r="E33" s="308"/>
      <c r="F33" s="307"/>
    </row>
    <row r="34" spans="1:6">
      <c r="A34" s="311">
        <v>24</v>
      </c>
      <c r="B34" s="354">
        <v>2</v>
      </c>
      <c r="C34" s="309"/>
      <c r="E34" s="308"/>
      <c r="F34" s="307"/>
    </row>
    <row r="35" spans="1:6">
      <c r="A35" s="312">
        <v>25</v>
      </c>
      <c r="B35" s="355">
        <v>2.0832999999999999</v>
      </c>
      <c r="C35" s="309"/>
      <c r="E35" s="308"/>
      <c r="F35" s="307"/>
    </row>
    <row r="36" spans="1:6">
      <c r="A36" s="312">
        <v>26</v>
      </c>
      <c r="B36" s="355">
        <v>2.1667000000000001</v>
      </c>
      <c r="C36" s="309"/>
      <c r="E36" s="308"/>
      <c r="F36" s="307"/>
    </row>
    <row r="37" spans="1:6">
      <c r="A37" s="312">
        <v>27</v>
      </c>
      <c r="B37" s="355">
        <v>2.25</v>
      </c>
      <c r="C37" s="309"/>
      <c r="E37" s="308"/>
      <c r="F37" s="307"/>
    </row>
    <row r="38" spans="1:6">
      <c r="A38" s="312">
        <v>28</v>
      </c>
      <c r="B38" s="355">
        <v>2.3332999999999999</v>
      </c>
      <c r="C38" s="309"/>
      <c r="E38" s="308"/>
      <c r="F38" s="307"/>
    </row>
    <row r="39" spans="1:6">
      <c r="A39" s="312">
        <v>29</v>
      </c>
      <c r="B39" s="355">
        <v>2.4167000000000001</v>
      </c>
      <c r="C39" s="309"/>
      <c r="E39" s="308"/>
      <c r="F39" s="307"/>
    </row>
    <row r="40" spans="1:6">
      <c r="A40" s="312">
        <v>30</v>
      </c>
      <c r="B40" s="355">
        <v>2.5</v>
      </c>
      <c r="C40" s="309"/>
      <c r="E40" s="308"/>
      <c r="F40" s="307"/>
    </row>
    <row r="41" spans="1:6">
      <c r="A41" s="312">
        <v>31</v>
      </c>
      <c r="B41" s="354">
        <v>2.5832999999999999</v>
      </c>
      <c r="C41" s="309"/>
      <c r="E41" s="308"/>
      <c r="F41" s="307"/>
    </row>
    <row r="42" spans="1:6">
      <c r="A42" s="312">
        <v>32</v>
      </c>
      <c r="B42" s="355">
        <v>2.6667000000000001</v>
      </c>
      <c r="C42" s="309"/>
      <c r="E42" s="308"/>
      <c r="F42" s="307"/>
    </row>
    <row r="43" spans="1:6">
      <c r="A43" s="312">
        <v>33</v>
      </c>
      <c r="B43" s="355">
        <v>2.75</v>
      </c>
      <c r="C43" s="309"/>
      <c r="E43" s="308"/>
      <c r="F43" s="307"/>
    </row>
    <row r="44" spans="1:6">
      <c r="A44" s="312">
        <v>34</v>
      </c>
      <c r="B44" s="355">
        <v>2.8332999999999999</v>
      </c>
      <c r="C44" s="309"/>
      <c r="E44" s="308"/>
      <c r="F44" s="307"/>
    </row>
    <row r="45" spans="1:6">
      <c r="A45" s="312">
        <v>35</v>
      </c>
      <c r="B45" s="355">
        <v>2.9167000000000001</v>
      </c>
      <c r="C45" s="309"/>
      <c r="E45" s="308"/>
      <c r="F45" s="307"/>
    </row>
    <row r="46" spans="1:6">
      <c r="A46" s="311">
        <v>36</v>
      </c>
      <c r="B46" s="355">
        <v>3</v>
      </c>
      <c r="C46" s="309"/>
      <c r="E46" s="308"/>
      <c r="F46" s="307"/>
    </row>
    <row r="47" spans="1:6">
      <c r="A47" s="312">
        <v>37</v>
      </c>
      <c r="B47" s="354">
        <v>3.0832999999999999</v>
      </c>
      <c r="C47" s="309"/>
      <c r="E47" s="308"/>
      <c r="F47" s="307"/>
    </row>
    <row r="48" spans="1:6">
      <c r="A48" s="312">
        <v>38</v>
      </c>
      <c r="B48" s="355">
        <v>3.1667000000000001</v>
      </c>
      <c r="C48" s="309"/>
      <c r="E48" s="308"/>
      <c r="F48" s="307"/>
    </row>
    <row r="49" spans="1:6">
      <c r="A49" s="312">
        <v>39</v>
      </c>
      <c r="B49" s="355">
        <v>3.25</v>
      </c>
      <c r="C49" s="309"/>
      <c r="E49" s="308"/>
      <c r="F49" s="307"/>
    </row>
    <row r="50" spans="1:6">
      <c r="A50" s="312">
        <v>40</v>
      </c>
      <c r="B50" s="355">
        <v>3.3332999999999999</v>
      </c>
      <c r="C50" s="309"/>
      <c r="E50" s="308"/>
      <c r="F50" s="307"/>
    </row>
    <row r="51" spans="1:6">
      <c r="A51" s="312">
        <v>41</v>
      </c>
      <c r="B51" s="355">
        <v>3.4167000000000001</v>
      </c>
      <c r="C51" s="309"/>
      <c r="E51" s="308"/>
      <c r="F51" s="307"/>
    </row>
    <row r="52" spans="1:6">
      <c r="A52" s="312">
        <v>42</v>
      </c>
      <c r="B52" s="355">
        <v>3.5</v>
      </c>
      <c r="C52" s="309"/>
      <c r="E52" s="308"/>
      <c r="F52" s="307"/>
    </row>
    <row r="53" spans="1:6">
      <c r="A53" s="312">
        <v>43</v>
      </c>
      <c r="B53" s="354">
        <v>3.5832999999999999</v>
      </c>
      <c r="C53" s="309"/>
      <c r="E53" s="308"/>
      <c r="F53" s="307"/>
    </row>
    <row r="54" spans="1:6">
      <c r="A54" s="312">
        <v>44</v>
      </c>
      <c r="B54" s="355">
        <v>3.6667000000000001</v>
      </c>
      <c r="C54" s="309"/>
      <c r="E54" s="308"/>
      <c r="F54" s="307"/>
    </row>
    <row r="55" spans="1:6">
      <c r="A55" s="312">
        <v>45</v>
      </c>
      <c r="B55" s="355">
        <v>3.75</v>
      </c>
      <c r="C55" s="309"/>
      <c r="E55" s="308"/>
      <c r="F55" s="307"/>
    </row>
    <row r="56" spans="1:6">
      <c r="A56" s="312">
        <v>46</v>
      </c>
      <c r="B56" s="355">
        <v>3.8332999999999999</v>
      </c>
      <c r="C56" s="309"/>
      <c r="E56" s="308"/>
      <c r="F56" s="307"/>
    </row>
    <row r="57" spans="1:6">
      <c r="A57" s="312">
        <v>47</v>
      </c>
      <c r="B57" s="355">
        <v>3.9167000000000001</v>
      </c>
      <c r="C57" s="309"/>
      <c r="E57" s="308"/>
      <c r="F57" s="307"/>
    </row>
    <row r="58" spans="1:6">
      <c r="A58" s="311">
        <v>48</v>
      </c>
      <c r="B58" s="355">
        <v>4</v>
      </c>
      <c r="C58" s="309"/>
      <c r="E58" s="308"/>
      <c r="F58" s="307"/>
    </row>
    <row r="59" spans="1:6">
      <c r="A59" s="312">
        <v>49</v>
      </c>
      <c r="B59" s="354">
        <v>4.0833000000000004</v>
      </c>
      <c r="C59" s="309"/>
      <c r="E59" s="308"/>
      <c r="F59" s="307"/>
    </row>
    <row r="60" spans="1:6">
      <c r="A60" s="312">
        <v>50</v>
      </c>
      <c r="B60" s="355">
        <v>4.1666999999999996</v>
      </c>
      <c r="C60" s="309"/>
      <c r="E60" s="308"/>
      <c r="F60" s="307"/>
    </row>
    <row r="61" spans="1:6">
      <c r="A61" s="312">
        <v>51</v>
      </c>
      <c r="B61" s="355">
        <v>4.25</v>
      </c>
      <c r="C61" s="309"/>
      <c r="E61" s="308"/>
      <c r="F61" s="307"/>
    </row>
    <row r="62" spans="1:6">
      <c r="A62" s="312">
        <v>52</v>
      </c>
      <c r="B62" s="355">
        <v>4.3333000000000004</v>
      </c>
      <c r="C62" s="309"/>
      <c r="E62" s="308"/>
      <c r="F62" s="307"/>
    </row>
    <row r="63" spans="1:6">
      <c r="A63" s="312">
        <v>53</v>
      </c>
      <c r="B63" s="355">
        <v>4.4166999999999996</v>
      </c>
      <c r="C63" s="309"/>
      <c r="E63" s="308"/>
      <c r="F63" s="307"/>
    </row>
    <row r="64" spans="1:6">
      <c r="A64" s="312">
        <v>54</v>
      </c>
      <c r="B64" s="355">
        <v>4.5</v>
      </c>
      <c r="C64" s="309"/>
      <c r="E64" s="308"/>
      <c r="F64" s="307"/>
    </row>
    <row r="65" spans="1:6">
      <c r="A65" s="312">
        <v>55</v>
      </c>
      <c r="B65" s="354">
        <v>4.5833000000000004</v>
      </c>
      <c r="C65" s="309"/>
      <c r="E65" s="308"/>
      <c r="F65" s="307"/>
    </row>
    <row r="66" spans="1:6">
      <c r="A66" s="312">
        <v>56</v>
      </c>
      <c r="B66" s="355">
        <v>4.6666999999999996</v>
      </c>
      <c r="C66" s="309"/>
      <c r="E66" s="308"/>
      <c r="F66" s="307"/>
    </row>
    <row r="67" spans="1:6">
      <c r="A67" s="312">
        <v>57</v>
      </c>
      <c r="B67" s="355">
        <v>4.75</v>
      </c>
      <c r="C67" s="309"/>
      <c r="E67" s="308"/>
      <c r="F67" s="307"/>
    </row>
    <row r="68" spans="1:6">
      <c r="A68" s="312">
        <v>58</v>
      </c>
      <c r="B68" s="355">
        <v>4.8333000000000004</v>
      </c>
      <c r="C68" s="309"/>
      <c r="E68" s="308"/>
      <c r="F68" s="307"/>
    </row>
    <row r="69" spans="1:6">
      <c r="A69" s="312">
        <v>59</v>
      </c>
      <c r="B69" s="355">
        <v>4.9166999999999996</v>
      </c>
      <c r="C69" s="309"/>
      <c r="E69" s="308"/>
      <c r="F69" s="307"/>
    </row>
    <row r="70" spans="1:6">
      <c r="A70" s="311">
        <v>60</v>
      </c>
      <c r="B70" s="354">
        <v>5</v>
      </c>
      <c r="C70" s="309"/>
      <c r="E70" s="308"/>
      <c r="F70" s="307"/>
    </row>
  </sheetData>
  <sheetProtection password="F4F5" sheet="1" objects="1" scenarios="1" selectLockedCells="1" selectUnlockedCells="1"/>
  <printOptions horizontalCentered="1" verticalCentered="1"/>
  <pageMargins left="0.78740157480314965" right="0.78740157480314965" top="0.98425196850393704" bottom="0.98425196850393704" header="0" footer="0"/>
  <pageSetup scale="8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sheetPr codeName="Hoja18">
    <pageSetUpPr fitToPage="1"/>
  </sheetPr>
  <dimension ref="A4:N81"/>
  <sheetViews>
    <sheetView topLeftCell="O1" workbookViewId="0">
      <selection activeCell="N1" sqref="A1:N65536"/>
    </sheetView>
  </sheetViews>
  <sheetFormatPr baseColWidth="10" defaultColWidth="9.33203125" defaultRowHeight="12.75"/>
  <cols>
    <col min="1" max="1" width="15" style="306" hidden="1" customWidth="1"/>
    <col min="2" max="2" width="16.1640625" style="306" hidden="1" customWidth="1"/>
    <col min="3" max="4" width="12" style="306" hidden="1" customWidth="1"/>
    <col min="5" max="5" width="13" style="306" hidden="1" customWidth="1"/>
    <col min="6" max="6" width="12" style="306" hidden="1" customWidth="1"/>
    <col min="7" max="7" width="5.6640625" style="306" hidden="1" customWidth="1"/>
    <col min="8" max="14" width="9.33203125" style="306" hidden="1" customWidth="1"/>
    <col min="15" max="16384" width="9.33203125" style="306"/>
  </cols>
  <sheetData>
    <row r="4" spans="1:12" ht="23.25">
      <c r="B4" s="1004" t="s">
        <v>30</v>
      </c>
      <c r="C4" s="1004"/>
      <c r="D4" s="1004"/>
      <c r="E4" s="1004"/>
      <c r="F4" s="1004"/>
      <c r="G4" s="1004"/>
    </row>
    <row r="5" spans="1:12" ht="5.25" customHeight="1"/>
    <row r="6" spans="1:12" ht="15.75">
      <c r="B6" s="1005" t="s">
        <v>31</v>
      </c>
      <c r="C6" s="1005"/>
      <c r="D6" s="1005"/>
      <c r="E6" s="1005"/>
      <c r="F6" s="1005"/>
      <c r="G6" s="1005"/>
    </row>
    <row r="7" spans="1:12" s="328" customFormat="1" ht="3.75" customHeight="1"/>
    <row r="8" spans="1:12">
      <c r="A8" s="327"/>
    </row>
    <row r="9" spans="1:12" ht="6.75" customHeight="1"/>
    <row r="10" spans="1:12" ht="18">
      <c r="B10" s="171"/>
    </row>
    <row r="11" spans="1:12" ht="13.5" thickBot="1">
      <c r="C11" s="1009" t="s">
        <v>98</v>
      </c>
      <c r="D11" s="1009"/>
      <c r="E11" s="1009"/>
      <c r="F11" s="1009"/>
    </row>
    <row r="12" spans="1:12" ht="13.5" thickTop="1">
      <c r="A12" s="326" t="s">
        <v>34</v>
      </c>
      <c r="B12" s="169" t="s">
        <v>32</v>
      </c>
      <c r="C12" s="168" t="s">
        <v>33</v>
      </c>
      <c r="D12" s="168"/>
      <c r="E12" s="168"/>
      <c r="F12" s="167"/>
    </row>
    <row r="13" spans="1:12" ht="13.5" thickBot="1">
      <c r="A13" s="325"/>
      <c r="B13" s="165" t="s">
        <v>35</v>
      </c>
      <c r="C13" s="164" t="s">
        <v>36</v>
      </c>
      <c r="D13" s="164" t="s">
        <v>37</v>
      </c>
      <c r="E13" s="164" t="s">
        <v>38</v>
      </c>
      <c r="F13" s="163" t="s">
        <v>39</v>
      </c>
    </row>
    <row r="14" spans="1:12" ht="13.5" thickTop="1">
      <c r="C14" s="306">
        <v>360</v>
      </c>
      <c r="D14" s="306">
        <v>180</v>
      </c>
      <c r="E14" s="306">
        <v>90</v>
      </c>
      <c r="F14" s="306">
        <v>30</v>
      </c>
    </row>
    <row r="15" spans="1:12">
      <c r="A15" s="1006">
        <v>0.18</v>
      </c>
      <c r="B15" s="162">
        <v>1</v>
      </c>
      <c r="C15" s="423">
        <v>0</v>
      </c>
      <c r="D15" s="423">
        <v>0</v>
      </c>
      <c r="E15" s="423">
        <v>0</v>
      </c>
      <c r="F15" s="423">
        <v>0</v>
      </c>
    </row>
    <row r="16" spans="1:12">
      <c r="A16" s="1007"/>
      <c r="B16" s="162">
        <v>2</v>
      </c>
      <c r="C16" s="25">
        <v>2.4899999999999999E-2</v>
      </c>
      <c r="D16" s="25">
        <v>1.2500000000000001E-2</v>
      </c>
      <c r="E16" s="25">
        <v>6.1999999999999998E-3</v>
      </c>
      <c r="F16" s="25">
        <v>2.0999999999999999E-3</v>
      </c>
      <c r="H16" s="323"/>
      <c r="I16" s="423"/>
      <c r="J16" s="423"/>
      <c r="K16" s="423"/>
      <c r="L16" s="423"/>
    </row>
    <row r="17" spans="1:12">
      <c r="A17" s="1007"/>
      <c r="B17" s="162">
        <v>3</v>
      </c>
      <c r="C17" s="25">
        <v>5.0299999999999997E-2</v>
      </c>
      <c r="D17" s="25">
        <v>2.5000000000000001E-2</v>
      </c>
      <c r="E17" s="25">
        <v>1.2500000000000001E-2</v>
      </c>
      <c r="F17" s="25">
        <v>4.1999999999999997E-3</v>
      </c>
      <c r="H17" s="323"/>
      <c r="I17" s="25"/>
      <c r="J17" s="25"/>
      <c r="K17" s="25"/>
      <c r="L17" s="25"/>
    </row>
    <row r="18" spans="1:12">
      <c r="A18" s="1007"/>
      <c r="B18" s="162">
        <v>4</v>
      </c>
      <c r="C18" s="25">
        <v>7.5999999999999998E-2</v>
      </c>
      <c r="D18" s="25">
        <v>3.7699999999999997E-2</v>
      </c>
      <c r="E18" s="25">
        <v>1.8800000000000001E-2</v>
      </c>
      <c r="F18" s="25">
        <v>6.1999999999999998E-3</v>
      </c>
      <c r="H18" s="323"/>
      <c r="I18" s="25"/>
      <c r="J18" s="25"/>
      <c r="K18" s="25"/>
      <c r="L18" s="25"/>
    </row>
    <row r="19" spans="1:12">
      <c r="A19" s="1007"/>
      <c r="B19" s="162">
        <v>5</v>
      </c>
      <c r="C19" s="25">
        <v>0.1022</v>
      </c>
      <c r="D19" s="25">
        <v>5.0500000000000003E-2</v>
      </c>
      <c r="E19" s="25">
        <v>2.5100000000000001E-2</v>
      </c>
      <c r="F19" s="25">
        <v>8.3000000000000001E-3</v>
      </c>
      <c r="H19" s="323"/>
      <c r="I19" s="25"/>
      <c r="J19" s="25"/>
      <c r="K19" s="25"/>
      <c r="L19" s="25"/>
    </row>
    <row r="20" spans="1:12">
      <c r="A20" s="1007"/>
      <c r="B20" s="162">
        <v>6</v>
      </c>
      <c r="C20" s="42"/>
      <c r="D20" s="25">
        <v>6.3399999999999998E-2</v>
      </c>
      <c r="E20" s="25">
        <v>3.1399999999999997E-2</v>
      </c>
      <c r="F20" s="25">
        <v>1.04E-2</v>
      </c>
      <c r="I20" s="25"/>
      <c r="J20" s="25"/>
      <c r="K20" s="25"/>
      <c r="L20" s="25"/>
    </row>
    <row r="21" spans="1:12">
      <c r="A21" s="1007"/>
      <c r="B21" s="162">
        <v>7</v>
      </c>
      <c r="C21" s="42"/>
      <c r="D21" s="25">
        <v>7.6399999999999996E-2</v>
      </c>
      <c r="E21" s="25">
        <v>3.78E-2</v>
      </c>
      <c r="F21" s="25">
        <v>1.2500000000000001E-2</v>
      </c>
      <c r="I21" s="42"/>
      <c r="J21" s="25"/>
      <c r="K21" s="25"/>
      <c r="L21" s="25"/>
    </row>
    <row r="22" spans="1:12">
      <c r="A22" s="1007"/>
      <c r="B22" s="162">
        <v>8</v>
      </c>
      <c r="C22" s="42"/>
      <c r="D22" s="25">
        <v>8.9499999999999996E-2</v>
      </c>
      <c r="E22" s="25">
        <v>4.4200000000000003E-2</v>
      </c>
      <c r="F22" s="25">
        <v>1.46E-2</v>
      </c>
      <c r="I22" s="42"/>
      <c r="J22" s="25"/>
      <c r="K22" s="25"/>
      <c r="L22" s="25"/>
    </row>
    <row r="23" spans="1:12">
      <c r="A23" s="1007"/>
      <c r="B23" s="162">
        <v>9</v>
      </c>
      <c r="C23" s="42"/>
      <c r="D23" s="25">
        <v>0.1027</v>
      </c>
      <c r="E23" s="25">
        <v>5.0599999999999999E-2</v>
      </c>
      <c r="F23" s="25">
        <v>1.67E-2</v>
      </c>
      <c r="I23" s="42"/>
      <c r="J23" s="25"/>
      <c r="K23" s="25"/>
      <c r="L23" s="25"/>
    </row>
    <row r="24" spans="1:12">
      <c r="A24" s="1007"/>
      <c r="B24" s="162">
        <v>10</v>
      </c>
      <c r="C24" s="42"/>
      <c r="D24" s="25">
        <v>0.1159</v>
      </c>
      <c r="E24" s="25">
        <v>5.7099999999999998E-2</v>
      </c>
      <c r="F24" s="25">
        <v>1.8800000000000001E-2</v>
      </c>
      <c r="I24" s="42"/>
      <c r="J24" s="25"/>
      <c r="K24" s="25"/>
      <c r="L24" s="25"/>
    </row>
    <row r="25" spans="1:12">
      <c r="A25" s="1007"/>
      <c r="B25" s="162">
        <v>11</v>
      </c>
      <c r="C25" s="42"/>
      <c r="D25" s="42"/>
      <c r="E25" s="25">
        <v>6.3500000000000001E-2</v>
      </c>
      <c r="F25" s="25">
        <v>2.0899999999999998E-2</v>
      </c>
      <c r="I25" s="42"/>
      <c r="J25" s="25"/>
      <c r="K25" s="25"/>
      <c r="L25" s="25"/>
    </row>
    <row r="26" spans="1:12">
      <c r="A26" s="1007"/>
      <c r="B26" s="162">
        <v>12</v>
      </c>
      <c r="C26" s="42"/>
      <c r="D26" s="42"/>
      <c r="E26" s="25">
        <v>7.0000000000000007E-2</v>
      </c>
      <c r="F26" s="25">
        <v>2.3E-2</v>
      </c>
      <c r="I26" s="42"/>
      <c r="J26" s="42"/>
      <c r="K26" s="25"/>
      <c r="L26" s="25"/>
    </row>
    <row r="27" spans="1:12">
      <c r="A27" s="1007"/>
      <c r="B27" s="162">
        <v>13</v>
      </c>
      <c r="C27" s="42"/>
      <c r="D27" s="42"/>
      <c r="E27" s="25">
        <v>7.6499999999999999E-2</v>
      </c>
      <c r="F27" s="25">
        <v>2.5100000000000001E-2</v>
      </c>
      <c r="I27" s="42"/>
      <c r="J27" s="42"/>
      <c r="K27" s="25"/>
      <c r="L27" s="25"/>
    </row>
    <row r="28" spans="1:12">
      <c r="A28" s="1007"/>
      <c r="B28" s="162">
        <v>14</v>
      </c>
      <c r="C28" s="42"/>
      <c r="D28" s="42"/>
      <c r="E28" s="25">
        <v>8.3099999999999993E-2</v>
      </c>
      <c r="F28" s="25">
        <v>2.7300000000000001E-2</v>
      </c>
      <c r="I28" s="42"/>
      <c r="J28" s="42"/>
      <c r="K28" s="25"/>
      <c r="L28" s="25"/>
    </row>
    <row r="29" spans="1:12">
      <c r="A29" s="1007"/>
      <c r="B29" s="162">
        <v>15</v>
      </c>
      <c r="C29" s="42"/>
      <c r="D29" s="42"/>
      <c r="E29" s="25">
        <v>8.9700000000000002E-2</v>
      </c>
      <c r="F29" s="25">
        <v>2.9399999999999999E-2</v>
      </c>
      <c r="I29" s="42"/>
      <c r="J29" s="42"/>
      <c r="K29" s="25"/>
      <c r="L29" s="25"/>
    </row>
    <row r="30" spans="1:12">
      <c r="A30" s="1007"/>
      <c r="B30" s="162">
        <v>16</v>
      </c>
      <c r="C30" s="42"/>
      <c r="D30" s="42"/>
      <c r="E30" s="25">
        <v>9.6299999999999997E-2</v>
      </c>
      <c r="F30" s="25">
        <v>3.15E-2</v>
      </c>
      <c r="I30" s="42"/>
      <c r="J30" s="42"/>
      <c r="K30" s="25"/>
      <c r="L30" s="25"/>
    </row>
    <row r="31" spans="1:12">
      <c r="A31" s="1007"/>
      <c r="B31" s="162">
        <v>17</v>
      </c>
      <c r="C31" s="42"/>
      <c r="D31" s="42"/>
      <c r="E31" s="25">
        <v>0.10290000000000001</v>
      </c>
      <c r="F31" s="25">
        <v>3.3599999999999998E-2</v>
      </c>
      <c r="I31" s="42"/>
      <c r="J31" s="42"/>
      <c r="K31" s="25"/>
      <c r="L31" s="25"/>
    </row>
    <row r="32" spans="1:12">
      <c r="A32" s="1007"/>
      <c r="B32" s="162">
        <v>18</v>
      </c>
      <c r="C32" s="42"/>
      <c r="D32" s="42"/>
      <c r="E32" s="25">
        <v>0.1095</v>
      </c>
      <c r="F32" s="25">
        <v>3.5700000000000003E-2</v>
      </c>
      <c r="I32" s="42"/>
      <c r="J32" s="42"/>
      <c r="K32" s="25"/>
      <c r="L32" s="25"/>
    </row>
    <row r="33" spans="1:12">
      <c r="A33" s="1007"/>
      <c r="B33" s="162">
        <v>19</v>
      </c>
      <c r="C33" s="42"/>
      <c r="D33" s="42"/>
      <c r="E33" s="25">
        <v>0.1162</v>
      </c>
      <c r="F33" s="25">
        <v>3.7900000000000003E-2</v>
      </c>
      <c r="I33" s="42"/>
      <c r="J33" s="42"/>
      <c r="K33" s="25"/>
      <c r="L33" s="25"/>
    </row>
    <row r="34" spans="1:12">
      <c r="A34" s="1007"/>
      <c r="B34" s="162">
        <v>20</v>
      </c>
      <c r="C34" s="42"/>
      <c r="D34" s="42"/>
      <c r="E34" s="25">
        <v>0.1229</v>
      </c>
      <c r="F34" s="25">
        <v>0.04</v>
      </c>
      <c r="I34" s="42"/>
      <c r="J34" s="42"/>
      <c r="K34" s="25"/>
      <c r="L34" s="25"/>
    </row>
    <row r="35" spans="1:12">
      <c r="A35" s="1007"/>
      <c r="B35" s="162">
        <v>21</v>
      </c>
      <c r="C35" s="42"/>
      <c r="D35" s="42"/>
      <c r="E35" s="42"/>
      <c r="F35" s="25">
        <v>4.2099999999999999E-2</v>
      </c>
      <c r="I35" s="42"/>
      <c r="J35" s="42"/>
      <c r="K35" s="25"/>
      <c r="L35" s="25"/>
    </row>
    <row r="36" spans="1:12">
      <c r="A36" s="1007"/>
      <c r="B36" s="162">
        <v>22</v>
      </c>
      <c r="C36" s="42"/>
      <c r="D36" s="42"/>
      <c r="E36" s="42"/>
      <c r="F36" s="25">
        <v>4.4299999999999999E-2</v>
      </c>
      <c r="I36" s="42"/>
      <c r="J36" s="42"/>
      <c r="K36" s="42"/>
      <c r="L36" s="25"/>
    </row>
    <row r="37" spans="1:12">
      <c r="A37" s="1007"/>
      <c r="B37" s="162">
        <v>23</v>
      </c>
      <c r="C37" s="42"/>
      <c r="D37" s="42"/>
      <c r="E37" s="42"/>
      <c r="F37" s="25">
        <v>4.6399999999999997E-2</v>
      </c>
      <c r="I37" s="42"/>
      <c r="J37" s="42"/>
      <c r="K37" s="42"/>
      <c r="L37" s="25"/>
    </row>
    <row r="38" spans="1:12">
      <c r="A38" s="1007"/>
      <c r="B38" s="162">
        <v>24</v>
      </c>
      <c r="C38" s="42"/>
      <c r="D38" s="42"/>
      <c r="E38" s="42"/>
      <c r="F38" s="25">
        <v>4.8500000000000001E-2</v>
      </c>
      <c r="I38" s="42"/>
      <c r="J38" s="42"/>
      <c r="K38" s="42"/>
      <c r="L38" s="25"/>
    </row>
    <row r="39" spans="1:12">
      <c r="A39" s="1007"/>
      <c r="B39" s="162">
        <v>25</v>
      </c>
      <c r="C39" s="42"/>
      <c r="D39" s="42"/>
      <c r="E39" s="42"/>
      <c r="F39" s="25">
        <v>5.0700000000000002E-2</v>
      </c>
      <c r="I39" s="42"/>
      <c r="J39" s="42"/>
      <c r="K39" s="42"/>
      <c r="L39" s="25"/>
    </row>
    <row r="40" spans="1:12">
      <c r="A40" s="1007"/>
      <c r="B40" s="162">
        <v>26</v>
      </c>
      <c r="C40" s="42"/>
      <c r="D40" s="42"/>
      <c r="E40" s="42"/>
      <c r="F40" s="25">
        <v>5.28E-2</v>
      </c>
      <c r="I40" s="42"/>
      <c r="J40" s="42"/>
      <c r="K40" s="42"/>
      <c r="L40" s="25"/>
    </row>
    <row r="41" spans="1:12">
      <c r="A41" s="1007"/>
      <c r="B41" s="162">
        <v>27</v>
      </c>
      <c r="C41" s="42"/>
      <c r="D41" s="42"/>
      <c r="E41" s="42"/>
      <c r="F41" s="25">
        <v>5.5E-2</v>
      </c>
      <c r="I41" s="42"/>
      <c r="J41" s="42"/>
      <c r="K41" s="42"/>
      <c r="L41" s="25"/>
    </row>
    <row r="42" spans="1:12">
      <c r="A42" s="1007"/>
      <c r="B42" s="162">
        <v>28</v>
      </c>
      <c r="C42" s="42"/>
      <c r="D42" s="42"/>
      <c r="E42" s="42"/>
      <c r="F42" s="25">
        <v>5.7099999999999998E-2</v>
      </c>
      <c r="I42" s="42"/>
      <c r="J42" s="42"/>
      <c r="K42" s="42"/>
      <c r="L42" s="25"/>
    </row>
    <row r="43" spans="1:12">
      <c r="A43" s="1007"/>
      <c r="B43" s="162">
        <v>29</v>
      </c>
      <c r="C43" s="42"/>
      <c r="D43" s="42"/>
      <c r="E43" s="42"/>
      <c r="F43" s="25">
        <v>5.9299999999999999E-2</v>
      </c>
      <c r="I43" s="42"/>
      <c r="J43" s="42"/>
      <c r="K43" s="42"/>
      <c r="L43" s="25"/>
    </row>
    <row r="44" spans="1:12">
      <c r="A44" s="1007"/>
      <c r="B44" s="162">
        <v>30</v>
      </c>
      <c r="C44" s="42"/>
      <c r="D44" s="42"/>
      <c r="E44" s="42"/>
      <c r="F44" s="25">
        <v>6.1499999999999999E-2</v>
      </c>
      <c r="I44" s="42"/>
      <c r="J44" s="42"/>
      <c r="K44" s="42"/>
      <c r="L44" s="25"/>
    </row>
    <row r="45" spans="1:12">
      <c r="A45" s="1007"/>
      <c r="B45" s="162">
        <v>31</v>
      </c>
      <c r="C45" s="42"/>
      <c r="D45" s="42"/>
      <c r="E45" s="42"/>
      <c r="F45" s="25">
        <v>6.3600000000000004E-2</v>
      </c>
      <c r="I45" s="42"/>
      <c r="J45" s="42"/>
      <c r="K45" s="42"/>
      <c r="L45" s="25"/>
    </row>
    <row r="46" spans="1:12">
      <c r="A46" s="1007"/>
      <c r="B46" s="162">
        <v>32</v>
      </c>
      <c r="C46" s="42"/>
      <c r="D46" s="42"/>
      <c r="E46" s="42"/>
      <c r="F46" s="25">
        <v>6.5799999999999997E-2</v>
      </c>
      <c r="I46" s="42"/>
      <c r="J46" s="42"/>
      <c r="K46" s="42"/>
      <c r="L46" s="25"/>
    </row>
    <row r="47" spans="1:12">
      <c r="A47" s="1007"/>
      <c r="B47" s="162">
        <v>33</v>
      </c>
      <c r="C47" s="42"/>
      <c r="D47" s="42"/>
      <c r="E47" s="42"/>
      <c r="F47" s="25">
        <v>6.8000000000000005E-2</v>
      </c>
      <c r="I47" s="42"/>
      <c r="J47" s="42"/>
      <c r="K47" s="42"/>
      <c r="L47" s="25"/>
    </row>
    <row r="48" spans="1:12">
      <c r="A48" s="1007"/>
      <c r="B48" s="162">
        <v>34</v>
      </c>
      <c r="C48" s="42"/>
      <c r="D48" s="42"/>
      <c r="E48" s="42"/>
      <c r="F48" s="25">
        <v>7.0099999999999996E-2</v>
      </c>
      <c r="I48" s="42"/>
      <c r="J48" s="42"/>
      <c r="K48" s="42"/>
      <c r="L48" s="25"/>
    </row>
    <row r="49" spans="1:12">
      <c r="A49" s="1007"/>
      <c r="B49" s="162">
        <v>35</v>
      </c>
      <c r="C49" s="42"/>
      <c r="D49" s="42"/>
      <c r="E49" s="42"/>
      <c r="F49" s="25">
        <v>7.2300000000000003E-2</v>
      </c>
      <c r="I49" s="42"/>
      <c r="J49" s="42"/>
      <c r="K49" s="42"/>
      <c r="L49" s="25"/>
    </row>
    <row r="50" spans="1:12">
      <c r="A50" s="1007"/>
      <c r="B50" s="162">
        <v>36</v>
      </c>
      <c r="C50" s="42"/>
      <c r="D50" s="42"/>
      <c r="E50" s="42"/>
      <c r="F50" s="25">
        <v>7.4499999999999997E-2</v>
      </c>
      <c r="I50" s="42"/>
      <c r="J50" s="42"/>
      <c r="K50" s="42"/>
      <c r="L50" s="25"/>
    </row>
    <row r="51" spans="1:12">
      <c r="A51" s="1007"/>
      <c r="B51" s="162">
        <v>37</v>
      </c>
      <c r="C51" s="42"/>
      <c r="D51" s="42"/>
      <c r="E51" s="42"/>
      <c r="F51" s="25">
        <v>7.6700000000000004E-2</v>
      </c>
      <c r="I51" s="42"/>
      <c r="J51" s="42"/>
      <c r="K51" s="42"/>
      <c r="L51" s="25"/>
    </row>
    <row r="52" spans="1:12">
      <c r="A52" s="1007"/>
      <c r="B52" s="162">
        <v>38</v>
      </c>
      <c r="C52" s="42"/>
      <c r="D52" s="42"/>
      <c r="E52" s="42"/>
      <c r="F52" s="25">
        <v>7.8799999999999995E-2</v>
      </c>
      <c r="I52" s="42"/>
      <c r="J52" s="42"/>
      <c r="K52" s="42"/>
      <c r="L52" s="25"/>
    </row>
    <row r="53" spans="1:12">
      <c r="A53" s="1007"/>
      <c r="B53" s="162">
        <v>39</v>
      </c>
      <c r="C53" s="42"/>
      <c r="D53" s="42"/>
      <c r="E53" s="42"/>
      <c r="F53" s="25">
        <v>8.1000000000000003E-2</v>
      </c>
      <c r="I53" s="42"/>
      <c r="J53" s="42"/>
      <c r="K53" s="42"/>
      <c r="L53" s="25"/>
    </row>
    <row r="54" spans="1:12">
      <c r="A54" s="1007"/>
      <c r="B54" s="162">
        <v>40</v>
      </c>
      <c r="C54" s="42"/>
      <c r="D54" s="42"/>
      <c r="E54" s="42"/>
      <c r="F54" s="25">
        <v>8.3199999999999996E-2</v>
      </c>
      <c r="I54" s="42"/>
      <c r="J54" s="42"/>
      <c r="K54" s="42"/>
      <c r="L54" s="25"/>
    </row>
    <row r="55" spans="1:12">
      <c r="A55" s="1007"/>
      <c r="B55" s="162">
        <v>41</v>
      </c>
      <c r="C55" s="42"/>
      <c r="D55" s="42"/>
      <c r="E55" s="42"/>
      <c r="F55" s="25">
        <v>8.5400000000000004E-2</v>
      </c>
      <c r="I55" s="42"/>
      <c r="J55" s="42"/>
      <c r="K55" s="42"/>
      <c r="L55" s="25"/>
    </row>
    <row r="56" spans="1:12">
      <c r="A56" s="1007"/>
      <c r="B56" s="162">
        <v>42</v>
      </c>
      <c r="C56" s="42"/>
      <c r="D56" s="42"/>
      <c r="E56" s="42"/>
      <c r="F56" s="25">
        <v>8.7599999999999997E-2</v>
      </c>
      <c r="I56" s="42"/>
      <c r="J56" s="42"/>
      <c r="K56" s="42"/>
      <c r="L56" s="25"/>
    </row>
    <row r="57" spans="1:12">
      <c r="A57" s="1007"/>
      <c r="B57" s="162">
        <v>43</v>
      </c>
      <c r="C57" s="42"/>
      <c r="D57" s="42"/>
      <c r="E57" s="42"/>
      <c r="F57" s="25">
        <v>8.9800000000000005E-2</v>
      </c>
      <c r="I57" s="42"/>
      <c r="J57" s="42"/>
      <c r="K57" s="42"/>
      <c r="L57" s="25"/>
    </row>
    <row r="58" spans="1:12">
      <c r="A58" s="1007"/>
      <c r="B58" s="162">
        <v>44</v>
      </c>
      <c r="C58" s="42"/>
      <c r="D58" s="42"/>
      <c r="E58" s="42"/>
      <c r="F58" s="25">
        <v>9.1999999999999998E-2</v>
      </c>
      <c r="I58" s="42"/>
      <c r="J58" s="42"/>
      <c r="K58" s="42"/>
      <c r="L58" s="25"/>
    </row>
    <row r="59" spans="1:12">
      <c r="A59" s="1007"/>
      <c r="B59" s="162">
        <v>45</v>
      </c>
      <c r="C59" s="42"/>
      <c r="D59" s="42"/>
      <c r="E59" s="42"/>
      <c r="F59" s="25">
        <v>9.4200000000000006E-2</v>
      </c>
      <c r="I59" s="42"/>
      <c r="J59" s="42"/>
      <c r="K59" s="42"/>
      <c r="L59" s="25"/>
    </row>
    <row r="60" spans="1:12">
      <c r="A60" s="1007"/>
      <c r="B60" s="162">
        <v>46</v>
      </c>
      <c r="C60" s="42"/>
      <c r="D60" s="42"/>
      <c r="E60" s="42"/>
      <c r="F60" s="25">
        <v>9.64E-2</v>
      </c>
      <c r="I60" s="42"/>
      <c r="J60" s="42"/>
      <c r="K60" s="42"/>
      <c r="L60" s="25"/>
    </row>
    <row r="61" spans="1:12">
      <c r="A61" s="1007"/>
      <c r="B61" s="162">
        <v>47</v>
      </c>
      <c r="C61" s="42"/>
      <c r="D61" s="42"/>
      <c r="E61" s="42"/>
      <c r="F61" s="25">
        <v>9.8599999999999993E-2</v>
      </c>
      <c r="I61" s="42"/>
      <c r="J61" s="42"/>
      <c r="K61" s="42"/>
      <c r="L61" s="25"/>
    </row>
    <row r="62" spans="1:12">
      <c r="A62" s="1007"/>
      <c r="B62" s="162">
        <v>48</v>
      </c>
      <c r="C62" s="42"/>
      <c r="D62" s="42"/>
      <c r="E62" s="42"/>
      <c r="F62" s="25">
        <v>0.1008</v>
      </c>
      <c r="I62" s="42"/>
      <c r="J62" s="42"/>
      <c r="K62" s="42"/>
      <c r="L62" s="25"/>
    </row>
    <row r="63" spans="1:12">
      <c r="A63" s="1007"/>
      <c r="B63" s="162">
        <v>49</v>
      </c>
      <c r="C63" s="42"/>
      <c r="D63" s="42"/>
      <c r="E63" s="42"/>
      <c r="F63" s="25">
        <v>0.10299999999999999</v>
      </c>
      <c r="I63" s="42"/>
      <c r="J63" s="42"/>
      <c r="K63" s="42"/>
      <c r="L63" s="25"/>
    </row>
    <row r="64" spans="1:12">
      <c r="A64" s="1007"/>
      <c r="B64" s="162">
        <v>50</v>
      </c>
      <c r="C64" s="42"/>
      <c r="D64" s="42"/>
      <c r="E64" s="42"/>
      <c r="F64" s="25">
        <v>0.1053</v>
      </c>
      <c r="I64" s="42"/>
      <c r="J64" s="42"/>
      <c r="K64" s="42"/>
      <c r="L64" s="25"/>
    </row>
    <row r="65" spans="1:12">
      <c r="A65" s="1007"/>
      <c r="B65" s="162">
        <v>51</v>
      </c>
      <c r="C65" s="42"/>
      <c r="D65" s="42"/>
      <c r="E65" s="42"/>
      <c r="F65" s="25">
        <v>0.1075</v>
      </c>
      <c r="I65" s="42"/>
      <c r="J65" s="42"/>
      <c r="K65" s="42"/>
      <c r="L65" s="25"/>
    </row>
    <row r="66" spans="1:12">
      <c r="A66" s="1007"/>
      <c r="B66" s="162">
        <v>52</v>
      </c>
      <c r="C66" s="42"/>
      <c r="D66" s="42"/>
      <c r="E66" s="42"/>
      <c r="F66" s="25">
        <v>0.10970000000000001</v>
      </c>
      <c r="I66" s="42"/>
      <c r="J66" s="42"/>
      <c r="K66" s="42"/>
      <c r="L66" s="25"/>
    </row>
    <row r="67" spans="1:12">
      <c r="A67" s="1007"/>
      <c r="B67" s="162">
        <v>53</v>
      </c>
      <c r="C67" s="42"/>
      <c r="D67" s="42"/>
      <c r="E67" s="42"/>
      <c r="F67" s="25">
        <v>0.1119</v>
      </c>
      <c r="I67" s="42"/>
      <c r="J67" s="42"/>
      <c r="K67" s="42"/>
      <c r="L67" s="25"/>
    </row>
    <row r="68" spans="1:12">
      <c r="A68" s="1007"/>
      <c r="B68" s="162">
        <v>54</v>
      </c>
      <c r="C68" s="42"/>
      <c r="D68" s="42"/>
      <c r="E68" s="42"/>
      <c r="F68" s="25">
        <v>0.11409999999999999</v>
      </c>
      <c r="I68" s="42"/>
      <c r="J68" s="42"/>
      <c r="K68" s="42"/>
      <c r="L68" s="25"/>
    </row>
    <row r="69" spans="1:12">
      <c r="A69" s="1007"/>
      <c r="B69" s="162">
        <v>55</v>
      </c>
      <c r="C69" s="42"/>
      <c r="D69" s="42"/>
      <c r="E69" s="42"/>
      <c r="F69" s="25">
        <v>0.1164</v>
      </c>
      <c r="I69" s="42"/>
      <c r="J69" s="42"/>
      <c r="K69" s="42"/>
      <c r="L69" s="25"/>
    </row>
    <row r="70" spans="1:12">
      <c r="A70" s="1007"/>
      <c r="B70" s="162">
        <v>56</v>
      </c>
      <c r="C70" s="42"/>
      <c r="D70" s="42"/>
      <c r="E70" s="42"/>
      <c r="F70" s="25">
        <v>0.1186</v>
      </c>
      <c r="I70" s="42"/>
      <c r="J70" s="42"/>
      <c r="K70" s="42"/>
      <c r="L70" s="25"/>
    </row>
    <row r="71" spans="1:12">
      <c r="A71" s="1007"/>
      <c r="B71" s="162">
        <v>57</v>
      </c>
      <c r="C71" s="42"/>
      <c r="D71" s="42"/>
      <c r="E71" s="42"/>
      <c r="F71" s="25">
        <v>0.1208</v>
      </c>
      <c r="I71" s="42"/>
      <c r="J71" s="42"/>
      <c r="K71" s="42"/>
      <c r="L71" s="25"/>
    </row>
    <row r="72" spans="1:12">
      <c r="A72" s="1007"/>
      <c r="B72" s="162">
        <v>58</v>
      </c>
      <c r="C72" s="42"/>
      <c r="D72" s="42"/>
      <c r="E72" s="42"/>
      <c r="F72" s="25">
        <v>0.1231</v>
      </c>
      <c r="I72" s="42"/>
      <c r="J72" s="42"/>
      <c r="K72" s="42"/>
      <c r="L72" s="25"/>
    </row>
    <row r="73" spans="1:12">
      <c r="A73" s="1007"/>
      <c r="B73" s="162">
        <v>59</v>
      </c>
      <c r="C73" s="42"/>
      <c r="D73" s="42"/>
      <c r="E73" s="42"/>
      <c r="F73" s="25">
        <v>0.12529999999999999</v>
      </c>
      <c r="I73" s="42"/>
      <c r="J73" s="42"/>
      <c r="K73" s="42"/>
      <c r="L73" s="25"/>
    </row>
    <row r="74" spans="1:12">
      <c r="A74" s="1008"/>
      <c r="B74" s="162">
        <v>60</v>
      </c>
      <c r="C74" s="42"/>
      <c r="D74" s="42"/>
      <c r="E74" s="42"/>
      <c r="F74" s="25">
        <v>0.12759999999999999</v>
      </c>
      <c r="I74" s="42"/>
      <c r="J74" s="42"/>
      <c r="K74" s="42"/>
      <c r="L74" s="25"/>
    </row>
    <row r="75" spans="1:12">
      <c r="I75" s="42"/>
      <c r="J75" s="42"/>
      <c r="K75" s="42"/>
      <c r="L75" s="25"/>
    </row>
    <row r="81" spans="3:6">
      <c r="C81" s="322"/>
      <c r="D81" s="322"/>
      <c r="E81" s="322"/>
      <c r="F81" s="322"/>
    </row>
  </sheetData>
  <sheetProtection password="F4F5" sheet="1" objects="1" scenarios="1" selectLockedCells="1" selectUnlockedCells="1"/>
  <mergeCells count="4">
    <mergeCell ref="B4:G4"/>
    <mergeCell ref="B6:G6"/>
    <mergeCell ref="A15:A74"/>
    <mergeCell ref="C11:F11"/>
  </mergeCells>
  <printOptions horizontalCentered="1" verticalCentered="1"/>
  <pageMargins left="0.78740157480314965" right="0.78740157480314965" top="0.39370078740157483" bottom="0.39370078740157483" header="0" footer="0"/>
  <pageSetup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IR82"/>
  <sheetViews>
    <sheetView topLeftCell="AW1" zoomScale="85" zoomScaleNormal="85" workbookViewId="0">
      <selection activeCell="BE20" sqref="BE20"/>
    </sheetView>
  </sheetViews>
  <sheetFormatPr baseColWidth="10" defaultColWidth="7.33203125" defaultRowHeight="12.75" customHeight="1" zeroHeight="1"/>
  <cols>
    <col min="1" max="1" width="3.1640625" style="654" hidden="1" customWidth="1"/>
    <col min="2" max="2" width="2" style="654" hidden="1" customWidth="1"/>
    <col min="3" max="5" width="7.83203125" style="654" hidden="1" customWidth="1"/>
    <col min="6" max="6" width="8.6640625" style="654" hidden="1" customWidth="1"/>
    <col min="7" max="7" width="8.5" style="654" hidden="1" customWidth="1"/>
    <col min="8" max="8" width="7.83203125" style="654" hidden="1" customWidth="1"/>
    <col min="9" max="9" width="8" style="654" hidden="1" customWidth="1"/>
    <col min="10" max="21" width="7.83203125" style="654" hidden="1" customWidth="1"/>
    <col min="22" max="22" width="2" style="654" hidden="1" customWidth="1"/>
    <col min="23" max="23" width="3.1640625" style="654" hidden="1" customWidth="1"/>
    <col min="24" max="24" width="12.83203125" style="654" hidden="1" customWidth="1"/>
    <col min="25" max="28" width="13.33203125" style="654" hidden="1" customWidth="1"/>
    <col min="29" max="29" width="23" style="654" hidden="1" customWidth="1"/>
    <col min="30" max="48" width="13.33203125" style="654" hidden="1" customWidth="1"/>
    <col min="49" max="252" width="13.33203125" style="654" customWidth="1"/>
    <col min="253" max="255" width="13.33203125" style="655" customWidth="1"/>
    <col min="256" max="16384" width="7.33203125" style="655"/>
  </cols>
  <sheetData>
    <row r="1" spans="1:36" ht="13.5" thickBot="1">
      <c r="A1" s="428"/>
      <c r="B1" s="428"/>
      <c r="C1" s="428"/>
      <c r="D1" s="428"/>
      <c r="E1" s="428"/>
      <c r="F1" s="428"/>
      <c r="G1" s="428"/>
      <c r="H1" s="428"/>
      <c r="I1" s="428"/>
      <c r="J1" s="428"/>
      <c r="K1" s="428"/>
      <c r="L1" s="428"/>
      <c r="M1" s="428"/>
      <c r="N1" s="428"/>
      <c r="O1" s="428"/>
      <c r="P1" s="428"/>
      <c r="Q1" s="428"/>
      <c r="R1" s="428"/>
      <c r="S1" s="428"/>
      <c r="T1" s="428"/>
      <c r="U1" s="428"/>
      <c r="V1" s="428"/>
      <c r="W1" s="428"/>
    </row>
    <row r="2" spans="1:36" ht="13.5" thickTop="1">
      <c r="A2" s="428"/>
      <c r="B2" s="656"/>
      <c r="C2" s="657"/>
      <c r="D2" s="657"/>
      <c r="E2" s="657"/>
      <c r="F2" s="657"/>
      <c r="G2" s="657"/>
      <c r="H2" s="657"/>
      <c r="I2" s="657"/>
      <c r="J2" s="657"/>
      <c r="K2" s="657"/>
      <c r="L2" s="657"/>
      <c r="M2" s="657"/>
      <c r="N2" s="657"/>
      <c r="O2" s="657"/>
      <c r="P2" s="657"/>
      <c r="Q2" s="657"/>
      <c r="R2" s="657"/>
      <c r="S2" s="657"/>
      <c r="T2" s="657"/>
      <c r="U2" s="657"/>
      <c r="V2" s="658"/>
      <c r="W2" s="428"/>
      <c r="AG2" s="659">
        <f>IF(ISERROR((AA22&amp;-VLOOKUP(F66,$AH$2:$AJ$62,2,FALSE)&amp;-VLOOKUP(F66,$AH$2:$AJ$62,3,FALSE))*1),IF(ISERROR((AA22-1&amp;-VLOOKUP(F66,$AH$2:$AJ$62,2,FALSE)&amp;-VLOOKUP(F66,$AH$2:$AJ$62,3,FALSE))*1),IF(ISERROR((AA22-2&amp;-VLOOKUP(F66,$AH$2:$AJ$62,2,FALSE)&amp;-VLOOKUP(F66,$AH$2:$AJ$62,3,FALSE))*1),((AA22-3)&amp;-VLOOKUP(F66,$AH$2:$AJ$62,2,FALSE)&amp;-VLOOKUP(F66,$AH$2:$AJ$62,3,FALSE))*1,(AA22-2&amp;-VLOOKUP(F66,$AH$2:$AJ$62,2,FALSE)&amp;-VLOOKUP(F66,$AH$2:$AJ$62,3,FALSE))*1),(AA22-1&amp;-VLOOKUP(F66,$AH$2:$AJ$62,2,FALSE)&amp;-VLOOKUP(F66,$AH$2:$AJ$62,3,FALSE))*1),(AA22&amp;-VLOOKUP(F66,$AH$2:$AJ$62,2,FALSE)&amp;-VLOOKUP(F66,$AH$2:$AJ$62,3,FALSE))*1)</f>
        <v>41963</v>
      </c>
      <c r="AH2" s="660">
        <v>0</v>
      </c>
      <c r="AI2" s="660">
        <f>AA23</f>
        <v>11</v>
      </c>
      <c r="AJ2" s="660">
        <f>AA24</f>
        <v>2014</v>
      </c>
    </row>
    <row r="3" spans="1:36" ht="12.75" customHeight="1">
      <c r="A3" s="428"/>
      <c r="B3" s="661"/>
      <c r="C3" s="662"/>
      <c r="D3" s="662"/>
      <c r="E3" s="662"/>
      <c r="F3" s="663"/>
      <c r="G3" s="663"/>
      <c r="H3" s="663"/>
      <c r="I3" s="663"/>
      <c r="J3" s="663"/>
      <c r="K3" s="663"/>
      <c r="L3" s="900" t="s">
        <v>223</v>
      </c>
      <c r="M3" s="900"/>
      <c r="N3" s="900"/>
      <c r="O3" s="900"/>
      <c r="P3" s="900"/>
      <c r="Q3" s="900"/>
      <c r="R3" s="900"/>
      <c r="S3" s="900"/>
      <c r="T3" s="900"/>
      <c r="U3" s="664"/>
      <c r="V3" s="665"/>
      <c r="W3" s="428"/>
      <c r="AG3" s="659">
        <f>(AA22&amp;-AA23&amp;-AB28)*1</f>
        <v>42328</v>
      </c>
      <c r="AH3" s="660">
        <v>1</v>
      </c>
      <c r="AI3" s="660">
        <f>IF(AI2=12,1,AI2+1)</f>
        <v>12</v>
      </c>
      <c r="AJ3" s="660">
        <f>IF(AI2=12,AJ2+1,AJ2)</f>
        <v>2014</v>
      </c>
    </row>
    <row r="4" spans="1:36" ht="12.75" customHeight="1">
      <c r="A4" s="428"/>
      <c r="B4" s="661"/>
      <c r="C4" s="662"/>
      <c r="D4" s="662"/>
      <c r="E4" s="662"/>
      <c r="F4" s="663"/>
      <c r="G4" s="663"/>
      <c r="H4" s="663"/>
      <c r="I4" s="663"/>
      <c r="J4" s="663"/>
      <c r="K4" s="663"/>
      <c r="L4" s="900"/>
      <c r="M4" s="900"/>
      <c r="N4" s="900"/>
      <c r="O4" s="900"/>
      <c r="P4" s="900"/>
      <c r="Q4" s="900"/>
      <c r="R4" s="900"/>
      <c r="S4" s="900"/>
      <c r="T4" s="900"/>
      <c r="U4" s="664"/>
      <c r="V4" s="665"/>
      <c r="W4" s="428"/>
      <c r="AA4" s="654">
        <f>IF(L10="MORAL",1,0)</f>
        <v>0</v>
      </c>
      <c r="AH4" s="660">
        <v>2</v>
      </c>
      <c r="AI4" s="660">
        <f t="shared" ref="AI4:AI62" si="0">IF(AI3=12,1,AI3+1)</f>
        <v>1</v>
      </c>
      <c r="AJ4" s="660">
        <f t="shared" ref="AJ4:AJ62" si="1">IF(AI3=12,AJ3+1,AJ3)</f>
        <v>2015</v>
      </c>
    </row>
    <row r="5" spans="1:36" ht="13.5" thickBot="1">
      <c r="A5" s="428"/>
      <c r="B5" s="666"/>
      <c r="C5" s="667"/>
      <c r="D5" s="667"/>
      <c r="E5" s="667"/>
      <c r="F5" s="667"/>
      <c r="G5" s="667"/>
      <c r="H5" s="667"/>
      <c r="I5" s="667"/>
      <c r="J5" s="667"/>
      <c r="K5" s="667"/>
      <c r="L5" s="667"/>
      <c r="M5" s="667"/>
      <c r="N5" s="667"/>
      <c r="O5" s="667"/>
      <c r="P5" s="667"/>
      <c r="Q5" s="667"/>
      <c r="R5" s="667"/>
      <c r="S5" s="667"/>
      <c r="T5" s="667"/>
      <c r="U5" s="667"/>
      <c r="V5" s="668"/>
      <c r="W5" s="428"/>
      <c r="AA5" s="654">
        <f>IF(Q12&gt;0,1,0)</f>
        <v>0</v>
      </c>
      <c r="AG5" s="654">
        <f>IF(ISERROR((AA22&amp;-VLOOKUP(F66,$AH$2:$AJ$62,2,FALSE)&amp;-VLOOKUP(F66,$AH$2:$AJ$62,3,FALSE))*1),((AA22-1)&amp;-VLOOKUP(F66,$AH$2:$AJ$62,2,FALSE)&amp;-VLOOKUP(F66,$AH$2:$AJ$62,3,FALSE))*1)*(AA22&amp;-VLOOKUP(F66,$AH$2:$AJ$62,2,FALSE)&amp;-VLOOKUP(F66,$AH$2:$AJ$62,3,FALSE))*1</f>
        <v>0</v>
      </c>
      <c r="AH5" s="660">
        <v>3</v>
      </c>
      <c r="AI5" s="660">
        <f t="shared" si="0"/>
        <v>2</v>
      </c>
      <c r="AJ5" s="660">
        <f t="shared" si="1"/>
        <v>2015</v>
      </c>
    </row>
    <row r="6" spans="1:36" ht="13.5" thickTop="1">
      <c r="A6" s="428"/>
      <c r="B6" s="428"/>
      <c r="C6" s="428"/>
      <c r="D6" s="428"/>
      <c r="E6" s="428"/>
      <c r="F6" s="428"/>
      <c r="G6" s="428"/>
      <c r="H6" s="428"/>
      <c r="I6" s="428"/>
      <c r="J6" s="428"/>
      <c r="K6" s="428"/>
      <c r="L6" s="428"/>
      <c r="M6" s="428"/>
      <c r="N6" s="428"/>
      <c r="O6" s="428"/>
      <c r="P6" s="428"/>
      <c r="Q6" s="428"/>
      <c r="R6" s="428"/>
      <c r="S6" s="428"/>
      <c r="T6" s="428"/>
      <c r="U6" s="428"/>
      <c r="V6" s="428"/>
      <c r="W6" s="428"/>
      <c r="AA6" s="654">
        <f>SUM(AA4:AA5)</f>
        <v>0</v>
      </c>
      <c r="AH6" s="660">
        <v>4</v>
      </c>
      <c r="AI6" s="660">
        <f t="shared" si="0"/>
        <v>3</v>
      </c>
      <c r="AJ6" s="660">
        <f t="shared" si="1"/>
        <v>2015</v>
      </c>
    </row>
    <row r="7" spans="1:36" ht="14.25">
      <c r="A7" s="428"/>
      <c r="B7" s="428"/>
      <c r="C7" s="669" t="s">
        <v>224</v>
      </c>
      <c r="D7" s="669"/>
      <c r="E7" s="669"/>
      <c r="F7" s="428"/>
      <c r="G7" s="428"/>
      <c r="H7" s="428"/>
      <c r="I7" s="428"/>
      <c r="J7" s="428"/>
      <c r="K7" s="428"/>
      <c r="L7" s="428"/>
      <c r="M7" s="428"/>
      <c r="N7" s="428"/>
      <c r="O7" s="428"/>
      <c r="P7" s="428"/>
      <c r="Q7" s="428"/>
      <c r="R7" s="428"/>
      <c r="S7" s="428"/>
      <c r="T7" s="428"/>
      <c r="U7" s="428"/>
      <c r="V7" s="428"/>
      <c r="W7" s="428"/>
      <c r="AC7" s="654" t="s">
        <v>225</v>
      </c>
      <c r="AH7" s="660">
        <v>5</v>
      </c>
      <c r="AI7" s="660">
        <f t="shared" si="0"/>
        <v>4</v>
      </c>
      <c r="AJ7" s="660">
        <f t="shared" si="1"/>
        <v>2015</v>
      </c>
    </row>
    <row r="8" spans="1:36" ht="6.95" customHeight="1" thickBot="1">
      <c r="A8" s="428"/>
      <c r="B8" s="428"/>
      <c r="C8" s="669"/>
      <c r="D8" s="669"/>
      <c r="E8" s="669"/>
      <c r="F8" s="428"/>
      <c r="G8" s="428"/>
      <c r="H8" s="428"/>
      <c r="I8" s="428"/>
      <c r="J8" s="428"/>
      <c r="K8" s="428"/>
      <c r="L8" s="428"/>
      <c r="M8" s="428"/>
      <c r="N8" s="428"/>
      <c r="O8" s="428"/>
      <c r="P8" s="428"/>
      <c r="Q8" s="428"/>
      <c r="R8" s="428"/>
      <c r="S8" s="428"/>
      <c r="T8" s="428"/>
      <c r="U8" s="428"/>
      <c r="V8" s="428"/>
      <c r="W8" s="428"/>
      <c r="AC8" s="654" t="s">
        <v>226</v>
      </c>
      <c r="AH8" s="660">
        <v>6</v>
      </c>
      <c r="AI8" s="660">
        <f t="shared" si="0"/>
        <v>5</v>
      </c>
      <c r="AJ8" s="660">
        <f t="shared" si="1"/>
        <v>2015</v>
      </c>
    </row>
    <row r="9" spans="1:36" ht="6.95" customHeight="1" thickBot="1">
      <c r="A9" s="428"/>
      <c r="B9" s="670"/>
      <c r="C9" s="671"/>
      <c r="D9" s="671"/>
      <c r="E9" s="671"/>
      <c r="F9" s="672"/>
      <c r="G9" s="672"/>
      <c r="H9" s="672"/>
      <c r="I9" s="672"/>
      <c r="J9" s="672"/>
      <c r="K9" s="672"/>
      <c r="L9" s="673"/>
      <c r="M9" s="672"/>
      <c r="N9" s="672"/>
      <c r="O9" s="672"/>
      <c r="P9" s="672"/>
      <c r="Q9" s="672"/>
      <c r="R9" s="673"/>
      <c r="S9" s="673"/>
      <c r="T9" s="672"/>
      <c r="U9" s="672"/>
      <c r="V9" s="674"/>
      <c r="W9" s="428"/>
      <c r="AC9" s="654" t="s">
        <v>227</v>
      </c>
      <c r="AH9" s="660">
        <v>7</v>
      </c>
      <c r="AI9" s="660">
        <f t="shared" si="0"/>
        <v>6</v>
      </c>
      <c r="AJ9" s="660">
        <f t="shared" si="1"/>
        <v>2015</v>
      </c>
    </row>
    <row r="10" spans="1:36" ht="13.5" thickBot="1">
      <c r="A10" s="428"/>
      <c r="B10" s="675"/>
      <c r="C10" s="676" t="s">
        <v>163</v>
      </c>
      <c r="D10" s="677">
        <f>Cotizador!G14</f>
        <v>0</v>
      </c>
      <c r="E10" s="901" t="s">
        <v>162</v>
      </c>
      <c r="F10" s="901"/>
      <c r="G10" s="678">
        <f>Cotizador!G15</f>
        <v>0</v>
      </c>
      <c r="H10" s="676"/>
      <c r="I10" s="676" t="s">
        <v>228</v>
      </c>
      <c r="J10" s="676"/>
      <c r="K10" s="676"/>
      <c r="L10" s="902" t="s">
        <v>232</v>
      </c>
      <c r="M10" s="903"/>
      <c r="N10" s="676"/>
      <c r="O10" s="676"/>
      <c r="P10" s="676"/>
      <c r="Q10" s="676"/>
      <c r="R10" s="901" t="s">
        <v>229</v>
      </c>
      <c r="S10" s="901"/>
      <c r="T10" s="904">
        <f ca="1">Cotizador!G9</f>
        <v>41946</v>
      </c>
      <c r="U10" s="905"/>
      <c r="V10" s="679"/>
      <c r="W10" s="428"/>
      <c r="AC10" s="654" t="s">
        <v>230</v>
      </c>
      <c r="AH10" s="660">
        <v>8</v>
      </c>
      <c r="AI10" s="660">
        <f t="shared" si="0"/>
        <v>7</v>
      </c>
      <c r="AJ10" s="660">
        <f t="shared" si="1"/>
        <v>2015</v>
      </c>
    </row>
    <row r="11" spans="1:36" ht="6.95" customHeight="1" thickBot="1">
      <c r="A11" s="428"/>
      <c r="B11" s="675"/>
      <c r="C11" s="676"/>
      <c r="D11" s="676"/>
      <c r="E11" s="676"/>
      <c r="F11" s="680"/>
      <c r="G11" s="680"/>
      <c r="H11" s="680"/>
      <c r="I11" s="680"/>
      <c r="J11" s="680"/>
      <c r="K11" s="680"/>
      <c r="L11" s="676"/>
      <c r="M11" s="680"/>
      <c r="N11" s="680"/>
      <c r="O11" s="680"/>
      <c r="P11" s="680"/>
      <c r="Q11" s="680"/>
      <c r="R11" s="676"/>
      <c r="S11" s="676"/>
      <c r="T11" s="680"/>
      <c r="U11" s="680"/>
      <c r="V11" s="679"/>
      <c r="W11" s="428"/>
      <c r="AH11" s="660">
        <v>9</v>
      </c>
      <c r="AI11" s="660">
        <f t="shared" si="0"/>
        <v>8</v>
      </c>
      <c r="AJ11" s="660">
        <f t="shared" si="1"/>
        <v>2015</v>
      </c>
    </row>
    <row r="12" spans="1:36" ht="13.5" thickBot="1">
      <c r="A12" s="428"/>
      <c r="B12" s="675"/>
      <c r="C12" s="676" t="str">
        <f>IF(L10="moral","Razón Social:","Nombre(s):")</f>
        <v>Nombre(s):</v>
      </c>
      <c r="D12" s="676"/>
      <c r="E12" s="897">
        <f>Cotizador!G11</f>
        <v>0</v>
      </c>
      <c r="F12" s="898"/>
      <c r="G12" s="898"/>
      <c r="H12" s="898"/>
      <c r="I12" s="898"/>
      <c r="J12" s="898"/>
      <c r="K12" s="898"/>
      <c r="L12" s="899"/>
      <c r="M12" s="680"/>
      <c r="N12" s="681" t="s">
        <v>231</v>
      </c>
      <c r="O12" s="681"/>
      <c r="P12" s="682"/>
      <c r="Q12" s="897"/>
      <c r="R12" s="898"/>
      <c r="S12" s="898"/>
      <c r="T12" s="898"/>
      <c r="U12" s="899"/>
      <c r="V12" s="679"/>
      <c r="W12" s="428"/>
      <c r="AA12" s="654" t="s">
        <v>232</v>
      </c>
      <c r="AH12" s="660">
        <v>10</v>
      </c>
      <c r="AI12" s="660">
        <f t="shared" si="0"/>
        <v>9</v>
      </c>
      <c r="AJ12" s="660">
        <f t="shared" si="1"/>
        <v>2015</v>
      </c>
    </row>
    <row r="13" spans="1:36" ht="13.5" thickBot="1">
      <c r="A13" s="428"/>
      <c r="B13" s="675"/>
      <c r="C13" s="676" t="s">
        <v>233</v>
      </c>
      <c r="D13" s="676"/>
      <c r="E13" s="912">
        <f>Cotizador!G12</f>
        <v>0</v>
      </c>
      <c r="F13" s="913"/>
      <c r="G13" s="913"/>
      <c r="H13" s="913"/>
      <c r="I13" s="913"/>
      <c r="J13" s="914"/>
      <c r="K13" s="683"/>
      <c r="L13" s="684" t="s">
        <v>234</v>
      </c>
      <c r="M13" s="685"/>
      <c r="N13" s="915">
        <f>Cotizador!G13</f>
        <v>0</v>
      </c>
      <c r="O13" s="916"/>
      <c r="P13" s="916"/>
      <c r="Q13" s="916"/>
      <c r="R13" s="916"/>
      <c r="S13" s="917"/>
      <c r="T13" s="686"/>
      <c r="U13" s="687"/>
      <c r="V13" s="679"/>
      <c r="W13" s="428"/>
      <c r="AA13" s="654" t="s">
        <v>235</v>
      </c>
      <c r="AC13" s="654" t="s">
        <v>236</v>
      </c>
      <c r="AD13" s="654" t="s">
        <v>236</v>
      </c>
      <c r="AE13" s="654">
        <f>F66</f>
        <v>0</v>
      </c>
      <c r="AH13" s="660">
        <v>11</v>
      </c>
      <c r="AI13" s="660">
        <f t="shared" si="0"/>
        <v>10</v>
      </c>
      <c r="AJ13" s="660">
        <f t="shared" si="1"/>
        <v>2015</v>
      </c>
    </row>
    <row r="14" spans="1:36" ht="13.5" thickBot="1">
      <c r="A14" s="428"/>
      <c r="B14" s="675"/>
      <c r="C14" s="676" t="s">
        <v>237</v>
      </c>
      <c r="D14" s="676"/>
      <c r="E14" s="918"/>
      <c r="F14" s="919"/>
      <c r="G14" s="919"/>
      <c r="H14" s="920"/>
      <c r="I14" s="921" t="s">
        <v>238</v>
      </c>
      <c r="J14" s="922"/>
      <c r="K14" s="923"/>
      <c r="L14" s="924"/>
      <c r="M14" s="925"/>
      <c r="N14" s="926" t="str">
        <f>IF(OR(AA6=0,AA6=2),"","FALTA NOMBRE DEL REP. LEGAL O NO ES PERSONA FÍSICA")</f>
        <v/>
      </c>
      <c r="O14" s="927"/>
      <c r="P14" s="927"/>
      <c r="Q14" s="927"/>
      <c r="R14" s="927"/>
      <c r="S14" s="927"/>
      <c r="T14" s="927"/>
      <c r="U14" s="927"/>
      <c r="V14" s="679"/>
      <c r="W14" s="428"/>
      <c r="AC14" s="654" t="s">
        <v>36</v>
      </c>
      <c r="AD14" s="654" t="s">
        <v>239</v>
      </c>
      <c r="AE14" s="654">
        <v>12</v>
      </c>
      <c r="AH14" s="660">
        <v>12</v>
      </c>
      <c r="AI14" s="660">
        <f t="shared" si="0"/>
        <v>11</v>
      </c>
      <c r="AJ14" s="660">
        <f t="shared" si="1"/>
        <v>2015</v>
      </c>
    </row>
    <row r="15" spans="1:36" ht="6.95" customHeight="1">
      <c r="A15" s="428"/>
      <c r="B15" s="675"/>
      <c r="C15" s="676"/>
      <c r="D15" s="676"/>
      <c r="E15" s="676"/>
      <c r="F15" s="680"/>
      <c r="G15" s="680"/>
      <c r="H15" s="680"/>
      <c r="I15" s="680"/>
      <c r="J15" s="680"/>
      <c r="K15" s="680"/>
      <c r="L15" s="676"/>
      <c r="M15" s="680"/>
      <c r="N15" s="676"/>
      <c r="O15" s="676"/>
      <c r="P15" s="676"/>
      <c r="Q15" s="676"/>
      <c r="R15" s="676"/>
      <c r="S15" s="676"/>
      <c r="T15" s="680"/>
      <c r="U15" s="680"/>
      <c r="V15" s="679"/>
      <c r="W15" s="428"/>
      <c r="AC15" s="654" t="s">
        <v>37</v>
      </c>
      <c r="AD15" s="654" t="s">
        <v>240</v>
      </c>
      <c r="AE15" s="654">
        <v>6</v>
      </c>
      <c r="AH15" s="660">
        <v>13</v>
      </c>
      <c r="AI15" s="660">
        <f t="shared" si="0"/>
        <v>12</v>
      </c>
      <c r="AJ15" s="660">
        <f t="shared" si="1"/>
        <v>2015</v>
      </c>
    </row>
    <row r="16" spans="1:36" ht="13.5" thickBot="1">
      <c r="A16" s="428"/>
      <c r="B16" s="675"/>
      <c r="C16" s="676" t="s">
        <v>241</v>
      </c>
      <c r="D16" s="676"/>
      <c r="E16" s="676"/>
      <c r="F16" s="680"/>
      <c r="G16" s="680"/>
      <c r="H16" s="680"/>
      <c r="I16" s="680"/>
      <c r="J16" s="680"/>
      <c r="K16" s="680"/>
      <c r="L16" s="676"/>
      <c r="M16" s="680"/>
      <c r="N16" s="676"/>
      <c r="O16" s="676"/>
      <c r="P16" s="676"/>
      <c r="Q16" s="676"/>
      <c r="R16" s="676"/>
      <c r="S16" s="676"/>
      <c r="T16" s="680"/>
      <c r="U16" s="680"/>
      <c r="V16" s="679"/>
      <c r="W16" s="428"/>
      <c r="Z16" s="654" t="s">
        <v>242</v>
      </c>
      <c r="AC16" s="654" t="s">
        <v>38</v>
      </c>
      <c r="AD16" s="654" t="s">
        <v>243</v>
      </c>
      <c r="AE16" s="654">
        <v>3</v>
      </c>
      <c r="AH16" s="660">
        <v>14</v>
      </c>
      <c r="AI16" s="660">
        <f t="shared" si="0"/>
        <v>1</v>
      </c>
      <c r="AJ16" s="660">
        <f t="shared" si="1"/>
        <v>2016</v>
      </c>
    </row>
    <row r="17" spans="1:36" ht="13.5" thickBot="1">
      <c r="A17" s="428"/>
      <c r="B17" s="675"/>
      <c r="C17" s="676" t="s">
        <v>244</v>
      </c>
      <c r="D17" s="676"/>
      <c r="E17" s="897"/>
      <c r="F17" s="898"/>
      <c r="G17" s="898"/>
      <c r="H17" s="898"/>
      <c r="I17" s="898"/>
      <c r="J17" s="898"/>
      <c r="K17" s="898"/>
      <c r="L17" s="899"/>
      <c r="M17" s="688" t="s">
        <v>245</v>
      </c>
      <c r="N17" s="682"/>
      <c r="O17" s="897"/>
      <c r="P17" s="898"/>
      <c r="Q17" s="898"/>
      <c r="R17" s="898"/>
      <c r="S17" s="898"/>
      <c r="T17" s="899"/>
      <c r="U17" s="680"/>
      <c r="V17" s="679"/>
      <c r="W17" s="428"/>
      <c r="Z17" s="654" t="s">
        <v>246</v>
      </c>
      <c r="AC17" s="654" t="s">
        <v>39</v>
      </c>
      <c r="AD17" s="654" t="s">
        <v>247</v>
      </c>
      <c r="AE17" s="654">
        <v>1</v>
      </c>
      <c r="AH17" s="660">
        <v>15</v>
      </c>
      <c r="AI17" s="660">
        <f t="shared" si="0"/>
        <v>2</v>
      </c>
      <c r="AJ17" s="660">
        <f t="shared" si="1"/>
        <v>2016</v>
      </c>
    </row>
    <row r="18" spans="1:36" ht="13.5" thickBot="1">
      <c r="A18" s="428"/>
      <c r="B18" s="675"/>
      <c r="C18" s="676" t="s">
        <v>248</v>
      </c>
      <c r="D18" s="676"/>
      <c r="E18" s="915"/>
      <c r="F18" s="916"/>
      <c r="G18" s="916"/>
      <c r="H18" s="916"/>
      <c r="I18" s="916"/>
      <c r="J18" s="916"/>
      <c r="K18" s="917"/>
      <c r="L18" s="689" t="s">
        <v>249</v>
      </c>
      <c r="M18" s="915"/>
      <c r="N18" s="916"/>
      <c r="O18" s="916"/>
      <c r="P18" s="916"/>
      <c r="Q18" s="917"/>
      <c r="R18" s="690" t="s">
        <v>250</v>
      </c>
      <c r="S18" s="918"/>
      <c r="T18" s="920"/>
      <c r="U18" s="680"/>
      <c r="V18" s="679"/>
      <c r="W18" s="428"/>
      <c r="AH18" s="660">
        <v>16</v>
      </c>
      <c r="AI18" s="660">
        <f t="shared" si="0"/>
        <v>3</v>
      </c>
      <c r="AJ18" s="660">
        <f t="shared" si="1"/>
        <v>2016</v>
      </c>
    </row>
    <row r="19" spans="1:36" ht="6.95" customHeight="1" thickBot="1">
      <c r="A19" s="428"/>
      <c r="B19" s="675"/>
      <c r="C19" s="676"/>
      <c r="D19" s="676"/>
      <c r="E19" s="676"/>
      <c r="F19" s="680"/>
      <c r="G19" s="680"/>
      <c r="H19" s="680"/>
      <c r="I19" s="680"/>
      <c r="J19" s="680"/>
      <c r="K19" s="680"/>
      <c r="L19" s="676"/>
      <c r="M19" s="680"/>
      <c r="N19" s="680"/>
      <c r="O19" s="680"/>
      <c r="P19" s="680"/>
      <c r="Q19" s="680"/>
      <c r="R19" s="691"/>
      <c r="S19" s="691"/>
      <c r="T19" s="680"/>
      <c r="U19" s="680"/>
      <c r="V19" s="679"/>
      <c r="W19" s="428"/>
      <c r="AC19" s="654" t="s">
        <v>251</v>
      </c>
      <c r="AH19" s="660">
        <v>17</v>
      </c>
      <c r="AI19" s="660">
        <f t="shared" si="0"/>
        <v>4</v>
      </c>
      <c r="AJ19" s="660">
        <f t="shared" si="1"/>
        <v>2016</v>
      </c>
    </row>
    <row r="20" spans="1:36" ht="12.75" customHeight="1" thickBot="1">
      <c r="A20" s="428"/>
      <c r="B20" s="675"/>
      <c r="C20" s="676" t="s">
        <v>252</v>
      </c>
      <c r="D20" s="676"/>
      <c r="E20" s="676"/>
      <c r="F20" s="677"/>
      <c r="G20" s="680"/>
      <c r="H20" s="692" t="s">
        <v>253</v>
      </c>
      <c r="I20" s="677">
        <f>Cotizador!G16</f>
        <v>11</v>
      </c>
      <c r="J20" s="691"/>
      <c r="K20" s="691"/>
      <c r="L20" s="691"/>
      <c r="M20" s="691"/>
      <c r="N20" s="691"/>
      <c r="O20" s="691"/>
      <c r="P20" s="691"/>
      <c r="Q20" s="691"/>
      <c r="R20" s="691"/>
      <c r="S20" s="691"/>
      <c r="T20" s="680"/>
      <c r="U20" s="680"/>
      <c r="V20" s="679"/>
      <c r="W20" s="428"/>
      <c r="AC20" s="654" t="s">
        <v>198</v>
      </c>
      <c r="AH20" s="660">
        <v>18</v>
      </c>
      <c r="AI20" s="660">
        <f t="shared" si="0"/>
        <v>5</v>
      </c>
      <c r="AJ20" s="660">
        <f t="shared" si="1"/>
        <v>2016</v>
      </c>
    </row>
    <row r="21" spans="1:36" ht="6.95" customHeight="1" thickBot="1">
      <c r="A21" s="428"/>
      <c r="B21" s="675"/>
      <c r="C21" s="676"/>
      <c r="D21" s="676"/>
      <c r="E21" s="676"/>
      <c r="F21" s="680"/>
      <c r="G21" s="680"/>
      <c r="H21" s="680"/>
      <c r="I21" s="680"/>
      <c r="J21" s="680"/>
      <c r="K21" s="680"/>
      <c r="L21" s="676"/>
      <c r="M21" s="680"/>
      <c r="N21" s="680"/>
      <c r="O21" s="680"/>
      <c r="P21" s="680"/>
      <c r="Q21" s="680"/>
      <c r="R21" s="691"/>
      <c r="S21" s="691"/>
      <c r="T21" s="680"/>
      <c r="U21" s="680"/>
      <c r="V21" s="679"/>
      <c r="W21" s="428"/>
      <c r="AH21" s="660">
        <v>19</v>
      </c>
      <c r="AI21" s="660">
        <f t="shared" si="0"/>
        <v>6</v>
      </c>
      <c r="AJ21" s="660">
        <f t="shared" si="1"/>
        <v>2016</v>
      </c>
    </row>
    <row r="22" spans="1:36" ht="12.75" customHeight="1" thickBot="1">
      <c r="A22" s="428"/>
      <c r="B22" s="675"/>
      <c r="C22" s="676" t="s">
        <v>254</v>
      </c>
      <c r="D22" s="676"/>
      <c r="E22" s="906" t="str">
        <f>Cotizador!D11</f>
        <v>Y3D</v>
      </c>
      <c r="F22" s="907"/>
      <c r="G22" s="901" t="s">
        <v>255</v>
      </c>
      <c r="H22" s="901"/>
      <c r="I22" s="906" t="str">
        <f>Cotizador!D13</f>
        <v>FIESTA HATCH S T/M</v>
      </c>
      <c r="J22" s="908"/>
      <c r="K22" s="908"/>
      <c r="L22" s="908"/>
      <c r="M22" s="907"/>
      <c r="N22" s="691"/>
      <c r="O22" s="676"/>
      <c r="P22" s="691"/>
      <c r="Q22" s="693" t="s">
        <v>256</v>
      </c>
      <c r="R22" s="909">
        <f>Cotizador!D17</f>
        <v>184100</v>
      </c>
      <c r="S22" s="910"/>
      <c r="T22" s="911"/>
      <c r="U22" s="680"/>
      <c r="V22" s="679"/>
      <c r="W22" s="428"/>
      <c r="AA22" s="654">
        <f>DAY(K67)</f>
        <v>20</v>
      </c>
      <c r="AC22" s="654">
        <v>1</v>
      </c>
      <c r="AD22" s="654" t="s">
        <v>257</v>
      </c>
      <c r="AH22" s="660">
        <v>20</v>
      </c>
      <c r="AI22" s="660">
        <f t="shared" si="0"/>
        <v>7</v>
      </c>
      <c r="AJ22" s="660">
        <f t="shared" si="1"/>
        <v>2016</v>
      </c>
    </row>
    <row r="23" spans="1:36" ht="13.5" thickBot="1">
      <c r="A23" s="428"/>
      <c r="B23" s="675"/>
      <c r="C23" s="676" t="s">
        <v>258</v>
      </c>
      <c r="D23" s="676"/>
      <c r="E23" s="918"/>
      <c r="F23" s="920"/>
      <c r="G23" s="901" t="s">
        <v>259</v>
      </c>
      <c r="H23" s="901"/>
      <c r="I23" s="694">
        <f>Cotizador!D15</f>
        <v>2015</v>
      </c>
      <c r="J23" s="921" t="s">
        <v>260</v>
      </c>
      <c r="K23" s="931"/>
      <c r="L23" s="918">
        <f>Cotizador!G18</f>
        <v>0</v>
      </c>
      <c r="M23" s="919"/>
      <c r="N23" s="919"/>
      <c r="O23" s="920"/>
      <c r="P23" s="680"/>
      <c r="Q23" s="693" t="s">
        <v>261</v>
      </c>
      <c r="R23" s="909" t="s">
        <v>242</v>
      </c>
      <c r="S23" s="910"/>
      <c r="T23" s="911"/>
      <c r="U23" s="680"/>
      <c r="V23" s="679"/>
      <c r="W23" s="428"/>
      <c r="AA23" s="654">
        <f>MONTH(K67)</f>
        <v>11</v>
      </c>
      <c r="AC23" s="654">
        <v>2</v>
      </c>
      <c r="AD23" s="654" t="s">
        <v>262</v>
      </c>
      <c r="AH23" s="660">
        <v>21</v>
      </c>
      <c r="AI23" s="660">
        <f t="shared" si="0"/>
        <v>8</v>
      </c>
      <c r="AJ23" s="660">
        <f t="shared" si="1"/>
        <v>2016</v>
      </c>
    </row>
    <row r="24" spans="1:36" ht="6.95" customHeight="1" thickBot="1">
      <c r="A24" s="428"/>
      <c r="B24" s="695"/>
      <c r="C24" s="696"/>
      <c r="D24" s="696"/>
      <c r="E24" s="696"/>
      <c r="F24" s="697"/>
      <c r="G24" s="697"/>
      <c r="H24" s="697"/>
      <c r="I24" s="697"/>
      <c r="J24" s="697"/>
      <c r="K24" s="697"/>
      <c r="L24" s="696"/>
      <c r="M24" s="697"/>
      <c r="N24" s="697"/>
      <c r="O24" s="697"/>
      <c r="P24" s="697"/>
      <c r="Q24" s="697"/>
      <c r="R24" s="696"/>
      <c r="S24" s="696"/>
      <c r="T24" s="697"/>
      <c r="U24" s="697"/>
      <c r="V24" s="698"/>
      <c r="W24" s="428"/>
      <c r="AA24" s="654">
        <f>YEAR(K67)</f>
        <v>2014</v>
      </c>
      <c r="AC24" s="654">
        <v>3</v>
      </c>
      <c r="AD24" s="654" t="s">
        <v>263</v>
      </c>
      <c r="AH24" s="660">
        <v>22</v>
      </c>
      <c r="AI24" s="660">
        <f t="shared" si="0"/>
        <v>9</v>
      </c>
      <c r="AJ24" s="660">
        <f t="shared" si="1"/>
        <v>2016</v>
      </c>
    </row>
    <row r="25" spans="1:36">
      <c r="A25" s="428"/>
      <c r="B25" s="428"/>
      <c r="C25" s="428"/>
      <c r="D25" s="428"/>
      <c r="E25" s="428"/>
      <c r="F25" s="428"/>
      <c r="G25" s="428"/>
      <c r="H25" s="428"/>
      <c r="I25" s="428"/>
      <c r="J25" s="428"/>
      <c r="K25" s="428"/>
      <c r="L25" s="428"/>
      <c r="M25" s="428"/>
      <c r="N25" s="428"/>
      <c r="O25" s="428"/>
      <c r="P25" s="428"/>
      <c r="Q25" s="428"/>
      <c r="R25" s="428"/>
      <c r="S25" s="428"/>
      <c r="T25" s="428"/>
      <c r="U25" s="428"/>
      <c r="V25" s="428"/>
      <c r="W25" s="428"/>
      <c r="AC25" s="654">
        <v>4</v>
      </c>
      <c r="AD25" s="654" t="s">
        <v>264</v>
      </c>
      <c r="AH25" s="660">
        <v>23</v>
      </c>
      <c r="AI25" s="660">
        <f t="shared" si="0"/>
        <v>10</v>
      </c>
      <c r="AJ25" s="660">
        <f t="shared" si="1"/>
        <v>2016</v>
      </c>
    </row>
    <row r="26" spans="1:36" ht="12.75" customHeight="1">
      <c r="A26" s="428"/>
      <c r="B26" s="428"/>
      <c r="C26" s="669" t="s">
        <v>265</v>
      </c>
      <c r="D26" s="669"/>
      <c r="E26" s="669"/>
      <c r="F26" s="428"/>
      <c r="G26" s="428"/>
      <c r="H26" s="428"/>
      <c r="I26" s="428"/>
      <c r="J26" s="428"/>
      <c r="K26" s="428"/>
      <c r="L26" s="428"/>
      <c r="M26" s="428"/>
      <c r="N26" s="428"/>
      <c r="O26" s="428"/>
      <c r="P26" s="428"/>
      <c r="Q26" s="428"/>
      <c r="R26" s="428"/>
      <c r="S26" s="428"/>
      <c r="T26" s="428"/>
      <c r="U26" s="428"/>
      <c r="V26" s="428"/>
      <c r="W26" s="428"/>
      <c r="AA26" s="654" t="str">
        <f>IF(AA22&gt;15,VLOOKUP((AA23+1),$AC$22:$AD$34,2,FALSE),VLOOKUP(AA23,$AC$22:$AD$34,2,FALSE))</f>
        <v>DICIEMBRE</v>
      </c>
      <c r="AC26" s="654">
        <v>5</v>
      </c>
      <c r="AD26" s="654" t="s">
        <v>266</v>
      </c>
      <c r="AH26" s="660">
        <v>24</v>
      </c>
      <c r="AI26" s="660">
        <f t="shared" si="0"/>
        <v>11</v>
      </c>
      <c r="AJ26" s="660">
        <f t="shared" si="1"/>
        <v>2016</v>
      </c>
    </row>
    <row r="27" spans="1:36" ht="6.95" customHeight="1">
      <c r="A27" s="428"/>
      <c r="B27" s="428"/>
      <c r="C27" s="669"/>
      <c r="D27" s="669"/>
      <c r="E27" s="669"/>
      <c r="F27" s="428"/>
      <c r="G27" s="428"/>
      <c r="H27" s="428"/>
      <c r="I27" s="428"/>
      <c r="J27" s="428"/>
      <c r="K27" s="428"/>
      <c r="L27" s="428"/>
      <c r="M27" s="428"/>
      <c r="N27" s="428"/>
      <c r="O27" s="428"/>
      <c r="P27" s="428"/>
      <c r="Q27" s="428"/>
      <c r="R27" s="428"/>
      <c r="S27" s="428"/>
      <c r="T27" s="428"/>
      <c r="U27" s="428"/>
      <c r="V27" s="428"/>
      <c r="W27" s="428"/>
      <c r="AC27" s="654">
        <v>6</v>
      </c>
      <c r="AD27" s="654" t="s">
        <v>267</v>
      </c>
      <c r="AH27" s="660">
        <v>25</v>
      </c>
      <c r="AI27" s="660">
        <f t="shared" si="0"/>
        <v>12</v>
      </c>
      <c r="AJ27" s="660">
        <f t="shared" si="1"/>
        <v>2016</v>
      </c>
    </row>
    <row r="28" spans="1:36" ht="6.95" customHeight="1">
      <c r="A28" s="428"/>
      <c r="B28" s="699"/>
      <c r="C28" s="700"/>
      <c r="D28" s="700"/>
      <c r="E28" s="700"/>
      <c r="F28" s="701"/>
      <c r="G28" s="701"/>
      <c r="H28" s="701"/>
      <c r="I28" s="701"/>
      <c r="J28" s="701"/>
      <c r="K28" s="701"/>
      <c r="L28" s="701"/>
      <c r="M28" s="701"/>
      <c r="N28" s="701"/>
      <c r="O28" s="701"/>
      <c r="P28" s="701"/>
      <c r="Q28" s="701"/>
      <c r="R28" s="700"/>
      <c r="S28" s="701"/>
      <c r="T28" s="701"/>
      <c r="U28" s="701"/>
      <c r="V28" s="702"/>
      <c r="W28" s="428"/>
      <c r="AA28" s="654">
        <f>IF(AND(AA22&gt;15,AA23=12),(IF(K65="SÍ",AA24+1,AA24)+1),(IF(K65="SÍ",AA24+1,AA24)))</f>
        <v>2015</v>
      </c>
      <c r="AB28" s="654">
        <f>IF(K65="SÍ",AA24+1,AA24)</f>
        <v>2015</v>
      </c>
      <c r="AC28" s="654">
        <v>7</v>
      </c>
      <c r="AD28" s="654" t="s">
        <v>268</v>
      </c>
      <c r="AH28" s="660">
        <v>26</v>
      </c>
      <c r="AI28" s="660">
        <f t="shared" si="0"/>
        <v>1</v>
      </c>
      <c r="AJ28" s="660">
        <f t="shared" si="1"/>
        <v>2017</v>
      </c>
    </row>
    <row r="29" spans="1:36">
      <c r="A29" s="428"/>
      <c r="B29" s="703"/>
      <c r="C29" s="704" t="s">
        <v>269</v>
      </c>
      <c r="D29" s="704"/>
      <c r="E29" s="704"/>
      <c r="F29" s="705"/>
      <c r="G29" s="705"/>
      <c r="H29" s="705"/>
      <c r="I29" s="705"/>
      <c r="J29" s="705"/>
      <c r="K29" s="705"/>
      <c r="L29" s="706"/>
      <c r="M29" s="705"/>
      <c r="N29" s="705"/>
      <c r="O29" s="705"/>
      <c r="P29" s="705"/>
      <c r="Q29" s="705"/>
      <c r="R29" s="706"/>
      <c r="S29" s="705"/>
      <c r="T29" s="705"/>
      <c r="U29" s="705"/>
      <c r="V29" s="707"/>
      <c r="W29" s="428"/>
      <c r="AC29" s="654">
        <v>8</v>
      </c>
      <c r="AD29" s="654" t="s">
        <v>270</v>
      </c>
      <c r="AH29" s="660">
        <v>27</v>
      </c>
      <c r="AI29" s="660">
        <f t="shared" si="0"/>
        <v>2</v>
      </c>
      <c r="AJ29" s="660">
        <f t="shared" si="1"/>
        <v>2017</v>
      </c>
    </row>
    <row r="30" spans="1:36" ht="6.95" customHeight="1" thickBot="1">
      <c r="A30" s="428"/>
      <c r="B30" s="703"/>
      <c r="C30" s="704"/>
      <c r="D30" s="704"/>
      <c r="E30" s="704"/>
      <c r="F30" s="705"/>
      <c r="G30" s="705"/>
      <c r="H30" s="705"/>
      <c r="I30" s="705"/>
      <c r="J30" s="705"/>
      <c r="K30" s="705"/>
      <c r="L30" s="706"/>
      <c r="M30" s="705"/>
      <c r="N30" s="705"/>
      <c r="O30" s="705"/>
      <c r="P30" s="705"/>
      <c r="Q30" s="705"/>
      <c r="R30" s="706"/>
      <c r="S30" s="705"/>
      <c r="T30" s="705"/>
      <c r="U30" s="705"/>
      <c r="V30" s="707"/>
      <c r="W30" s="428"/>
      <c r="AC30" s="654">
        <v>9</v>
      </c>
      <c r="AD30" s="654" t="s">
        <v>271</v>
      </c>
      <c r="AH30" s="660">
        <v>28</v>
      </c>
      <c r="AI30" s="660">
        <f t="shared" si="0"/>
        <v>3</v>
      </c>
      <c r="AJ30" s="660">
        <f t="shared" si="1"/>
        <v>2017</v>
      </c>
    </row>
    <row r="31" spans="1:36" ht="12.75" customHeight="1" thickBot="1">
      <c r="A31" s="428"/>
      <c r="B31" s="703"/>
      <c r="C31" s="706" t="s">
        <v>272</v>
      </c>
      <c r="D31" s="706"/>
      <c r="E31" s="928"/>
      <c r="F31" s="929"/>
      <c r="G31" s="929"/>
      <c r="H31" s="929"/>
      <c r="I31" s="929"/>
      <c r="J31" s="929"/>
      <c r="K31" s="930"/>
      <c r="L31" s="705"/>
      <c r="M31" s="705"/>
      <c r="N31" s="705"/>
      <c r="O31" s="705"/>
      <c r="P31" s="705"/>
      <c r="Q31" s="705"/>
      <c r="R31" s="705"/>
      <c r="S31" s="705"/>
      <c r="T31" s="705"/>
      <c r="U31" s="705"/>
      <c r="V31" s="707"/>
      <c r="W31" s="428"/>
      <c r="Z31" s="654">
        <f>IF(E31&gt;0,1,0)</f>
        <v>0</v>
      </c>
      <c r="AC31" s="654">
        <v>10</v>
      </c>
      <c r="AD31" s="654" t="s">
        <v>273</v>
      </c>
      <c r="AH31" s="660">
        <v>29</v>
      </c>
      <c r="AI31" s="660">
        <f t="shared" si="0"/>
        <v>4</v>
      </c>
      <c r="AJ31" s="660">
        <f t="shared" si="1"/>
        <v>2017</v>
      </c>
    </row>
    <row r="32" spans="1:36" ht="12.75" customHeight="1" thickBot="1">
      <c r="A32" s="428"/>
      <c r="B32" s="703"/>
      <c r="C32" s="706" t="s">
        <v>233</v>
      </c>
      <c r="D32" s="705"/>
      <c r="E32" s="932"/>
      <c r="F32" s="913"/>
      <c r="G32" s="913"/>
      <c r="H32" s="913"/>
      <c r="I32" s="913"/>
      <c r="J32" s="933"/>
      <c r="K32" s="708"/>
      <c r="L32" s="706" t="s">
        <v>234</v>
      </c>
      <c r="M32" s="705"/>
      <c r="N32" s="934"/>
      <c r="O32" s="935"/>
      <c r="P32" s="935"/>
      <c r="Q32" s="935"/>
      <c r="R32" s="935"/>
      <c r="S32" s="936"/>
      <c r="T32" s="709"/>
      <c r="U32" s="705"/>
      <c r="V32" s="707"/>
      <c r="W32" s="428"/>
      <c r="AC32" s="654">
        <v>11</v>
      </c>
      <c r="AD32" s="654" t="s">
        <v>274</v>
      </c>
      <c r="AH32" s="660">
        <v>30</v>
      </c>
      <c r="AI32" s="660">
        <f t="shared" si="0"/>
        <v>5</v>
      </c>
      <c r="AJ32" s="660">
        <f t="shared" si="1"/>
        <v>2017</v>
      </c>
    </row>
    <row r="33" spans="1:36" ht="12.75" customHeight="1" thickBot="1">
      <c r="A33" s="428"/>
      <c r="B33" s="703"/>
      <c r="C33" s="706" t="s">
        <v>237</v>
      </c>
      <c r="D33" s="706"/>
      <c r="E33" s="937"/>
      <c r="F33" s="938"/>
      <c r="G33" s="938"/>
      <c r="H33" s="939"/>
      <c r="I33" s="940" t="s">
        <v>238</v>
      </c>
      <c r="J33" s="941"/>
      <c r="K33" s="942"/>
      <c r="L33" s="943"/>
      <c r="M33" s="944"/>
      <c r="N33" s="710"/>
      <c r="O33" s="710"/>
      <c r="P33" s="710"/>
      <c r="Q33" s="710"/>
      <c r="R33" s="706"/>
      <c r="S33" s="705"/>
      <c r="T33" s="709"/>
      <c r="U33" s="705"/>
      <c r="V33" s="707"/>
      <c r="W33" s="428"/>
      <c r="AC33" s="654">
        <v>12</v>
      </c>
      <c r="AD33" s="654" t="s">
        <v>275</v>
      </c>
      <c r="AH33" s="660">
        <v>31</v>
      </c>
      <c r="AI33" s="660">
        <f t="shared" si="0"/>
        <v>6</v>
      </c>
      <c r="AJ33" s="660">
        <f t="shared" si="1"/>
        <v>2017</v>
      </c>
    </row>
    <row r="34" spans="1:36" ht="6.95" customHeight="1">
      <c r="A34" s="428"/>
      <c r="B34" s="703"/>
      <c r="C34" s="706"/>
      <c r="D34" s="706"/>
      <c r="E34" s="706"/>
      <c r="F34" s="709"/>
      <c r="G34" s="705"/>
      <c r="H34" s="705"/>
      <c r="I34" s="705"/>
      <c r="J34" s="705"/>
      <c r="K34" s="705"/>
      <c r="L34" s="706"/>
      <c r="M34" s="709"/>
      <c r="N34" s="705"/>
      <c r="O34" s="705"/>
      <c r="P34" s="705"/>
      <c r="Q34" s="705"/>
      <c r="R34" s="706"/>
      <c r="S34" s="705"/>
      <c r="T34" s="709"/>
      <c r="U34" s="705"/>
      <c r="V34" s="707"/>
      <c r="W34" s="428"/>
      <c r="AC34" s="654">
        <v>13</v>
      </c>
      <c r="AD34" s="654" t="s">
        <v>257</v>
      </c>
      <c r="AH34" s="660">
        <v>32</v>
      </c>
      <c r="AI34" s="660">
        <f t="shared" si="0"/>
        <v>7</v>
      </c>
      <c r="AJ34" s="660">
        <f t="shared" si="1"/>
        <v>2017</v>
      </c>
    </row>
    <row r="35" spans="1:36" ht="12.75" customHeight="1" thickBot="1">
      <c r="A35" s="428"/>
      <c r="B35" s="703"/>
      <c r="C35" s="706" t="s">
        <v>276</v>
      </c>
      <c r="D35" s="706"/>
      <c r="E35" s="706"/>
      <c r="F35" s="709"/>
      <c r="G35" s="705"/>
      <c r="H35" s="705"/>
      <c r="I35" s="705"/>
      <c r="J35" s="705"/>
      <c r="K35" s="705"/>
      <c r="L35" s="706"/>
      <c r="M35" s="709"/>
      <c r="N35" s="705"/>
      <c r="O35" s="705"/>
      <c r="P35" s="705"/>
      <c r="Q35" s="705"/>
      <c r="R35" s="706"/>
      <c r="S35" s="705"/>
      <c r="T35" s="709"/>
      <c r="U35" s="705"/>
      <c r="V35" s="707"/>
      <c r="W35" s="428"/>
      <c r="AH35" s="660">
        <v>33</v>
      </c>
      <c r="AI35" s="660">
        <f t="shared" si="0"/>
        <v>8</v>
      </c>
      <c r="AJ35" s="660">
        <f t="shared" si="1"/>
        <v>2017</v>
      </c>
    </row>
    <row r="36" spans="1:36" ht="12.75" customHeight="1" thickBot="1">
      <c r="A36" s="428"/>
      <c r="B36" s="703"/>
      <c r="C36" s="706" t="s">
        <v>277</v>
      </c>
      <c r="D36" s="706"/>
      <c r="E36" s="928"/>
      <c r="F36" s="929"/>
      <c r="G36" s="929"/>
      <c r="H36" s="929"/>
      <c r="I36" s="929"/>
      <c r="J36" s="929"/>
      <c r="K36" s="929"/>
      <c r="L36" s="930"/>
      <c r="M36" s="706" t="s">
        <v>245</v>
      </c>
      <c r="N36" s="705"/>
      <c r="O36" s="928"/>
      <c r="P36" s="929"/>
      <c r="Q36" s="929"/>
      <c r="R36" s="929"/>
      <c r="S36" s="930"/>
      <c r="T36" s="709"/>
      <c r="U36" s="705"/>
      <c r="V36" s="707"/>
      <c r="W36" s="428"/>
      <c r="AH36" s="660">
        <v>34</v>
      </c>
      <c r="AI36" s="660">
        <f t="shared" si="0"/>
        <v>9</v>
      </c>
      <c r="AJ36" s="660">
        <f t="shared" si="1"/>
        <v>2017</v>
      </c>
    </row>
    <row r="37" spans="1:36" ht="12.75" customHeight="1" thickBot="1">
      <c r="A37" s="428"/>
      <c r="B37" s="703"/>
      <c r="C37" s="706" t="s">
        <v>278</v>
      </c>
      <c r="D37" s="706"/>
      <c r="E37" s="945"/>
      <c r="F37" s="946"/>
      <c r="G37" s="946"/>
      <c r="H37" s="946"/>
      <c r="I37" s="946"/>
      <c r="J37" s="946"/>
      <c r="K37" s="947"/>
      <c r="L37" s="708" t="s">
        <v>249</v>
      </c>
      <c r="M37" s="934"/>
      <c r="N37" s="935"/>
      <c r="O37" s="946"/>
      <c r="P37" s="946"/>
      <c r="Q37" s="947"/>
      <c r="R37" s="711" t="s">
        <v>250</v>
      </c>
      <c r="S37" s="937"/>
      <c r="T37" s="948"/>
      <c r="U37" s="712"/>
      <c r="V37" s="707"/>
      <c r="W37" s="428"/>
      <c r="AH37" s="660">
        <v>35</v>
      </c>
      <c r="AI37" s="660">
        <f t="shared" si="0"/>
        <v>10</v>
      </c>
      <c r="AJ37" s="660">
        <f t="shared" si="1"/>
        <v>2017</v>
      </c>
    </row>
    <row r="38" spans="1:36" ht="6.95" customHeight="1">
      <c r="A38" s="428"/>
      <c r="B38" s="703"/>
      <c r="C38" s="706"/>
      <c r="D38" s="706"/>
      <c r="E38" s="706"/>
      <c r="F38" s="709"/>
      <c r="G38" s="705"/>
      <c r="H38" s="705"/>
      <c r="I38" s="705"/>
      <c r="J38" s="705"/>
      <c r="K38" s="705"/>
      <c r="L38" s="706"/>
      <c r="M38" s="709"/>
      <c r="N38" s="705"/>
      <c r="O38" s="705"/>
      <c r="P38" s="705"/>
      <c r="Q38" s="705"/>
      <c r="R38" s="706"/>
      <c r="S38" s="705"/>
      <c r="T38" s="709"/>
      <c r="U38" s="705"/>
      <c r="V38" s="707"/>
      <c r="W38" s="428"/>
      <c r="AH38" s="660">
        <v>36</v>
      </c>
      <c r="AI38" s="660">
        <f t="shared" si="0"/>
        <v>11</v>
      </c>
      <c r="AJ38" s="660">
        <f t="shared" si="1"/>
        <v>2017</v>
      </c>
    </row>
    <row r="39" spans="1:36" ht="12.75" customHeight="1">
      <c r="A39" s="428"/>
      <c r="B39" s="703"/>
      <c r="C39" s="704" t="s">
        <v>279</v>
      </c>
      <c r="D39" s="704"/>
      <c r="E39" s="704"/>
      <c r="F39" s="705"/>
      <c r="G39" s="705"/>
      <c r="H39" s="705"/>
      <c r="I39" s="705"/>
      <c r="J39" s="705"/>
      <c r="K39" s="705"/>
      <c r="L39" s="706"/>
      <c r="M39" s="705"/>
      <c r="N39" s="705"/>
      <c r="O39" s="705"/>
      <c r="P39" s="705"/>
      <c r="Q39" s="705"/>
      <c r="R39" s="706"/>
      <c r="S39" s="705"/>
      <c r="T39" s="705"/>
      <c r="U39" s="705"/>
      <c r="V39" s="707"/>
      <c r="W39" s="428"/>
      <c r="AH39" s="660">
        <v>37</v>
      </c>
      <c r="AI39" s="660">
        <f t="shared" si="0"/>
        <v>12</v>
      </c>
      <c r="AJ39" s="660">
        <f t="shared" si="1"/>
        <v>2017</v>
      </c>
    </row>
    <row r="40" spans="1:36" ht="6.95" customHeight="1" thickBot="1">
      <c r="A40" s="428"/>
      <c r="B40" s="703"/>
      <c r="C40" s="704"/>
      <c r="D40" s="704"/>
      <c r="E40" s="704"/>
      <c r="F40" s="705"/>
      <c r="G40" s="705"/>
      <c r="H40" s="705"/>
      <c r="I40" s="705"/>
      <c r="J40" s="705"/>
      <c r="K40" s="705"/>
      <c r="L40" s="706"/>
      <c r="M40" s="705"/>
      <c r="N40" s="705"/>
      <c r="O40" s="705"/>
      <c r="P40" s="705"/>
      <c r="Q40" s="705"/>
      <c r="R40" s="706"/>
      <c r="S40" s="705"/>
      <c r="T40" s="705"/>
      <c r="U40" s="705"/>
      <c r="V40" s="707"/>
      <c r="W40" s="428"/>
      <c r="AH40" s="660">
        <v>38</v>
      </c>
      <c r="AI40" s="660">
        <f t="shared" si="0"/>
        <v>1</v>
      </c>
      <c r="AJ40" s="660">
        <f t="shared" si="1"/>
        <v>2018</v>
      </c>
    </row>
    <row r="41" spans="1:36" ht="12.75" customHeight="1" thickBot="1">
      <c r="A41" s="428"/>
      <c r="B41" s="703"/>
      <c r="C41" s="706" t="s">
        <v>272</v>
      </c>
      <c r="D41" s="706"/>
      <c r="E41" s="928"/>
      <c r="F41" s="929"/>
      <c r="G41" s="929"/>
      <c r="H41" s="929"/>
      <c r="I41" s="929"/>
      <c r="J41" s="929"/>
      <c r="K41" s="930"/>
      <c r="L41" s="705"/>
      <c r="M41" s="705"/>
      <c r="N41" s="705"/>
      <c r="O41" s="705"/>
      <c r="P41" s="705"/>
      <c r="Q41" s="705"/>
      <c r="R41" s="705"/>
      <c r="S41" s="705"/>
      <c r="T41" s="705"/>
      <c r="U41" s="705"/>
      <c r="V41" s="707"/>
      <c r="W41" s="428"/>
      <c r="Z41" s="654">
        <f>IF(E41&gt;0,1,0)</f>
        <v>0</v>
      </c>
      <c r="AH41" s="660">
        <v>39</v>
      </c>
      <c r="AI41" s="660">
        <f t="shared" si="0"/>
        <v>2</v>
      </c>
      <c r="AJ41" s="660">
        <f t="shared" si="1"/>
        <v>2018</v>
      </c>
    </row>
    <row r="42" spans="1:36" ht="12.75" customHeight="1" thickBot="1">
      <c r="A42" s="428"/>
      <c r="B42" s="703"/>
      <c r="C42" s="706" t="s">
        <v>233</v>
      </c>
      <c r="D42" s="705"/>
      <c r="E42" s="932"/>
      <c r="F42" s="913"/>
      <c r="G42" s="913"/>
      <c r="H42" s="913"/>
      <c r="I42" s="913"/>
      <c r="J42" s="933"/>
      <c r="K42" s="708"/>
      <c r="L42" s="706" t="s">
        <v>234</v>
      </c>
      <c r="M42" s="705"/>
      <c r="N42" s="934"/>
      <c r="O42" s="935"/>
      <c r="P42" s="935"/>
      <c r="Q42" s="935"/>
      <c r="R42" s="935"/>
      <c r="S42" s="936"/>
      <c r="T42" s="709"/>
      <c r="U42" s="705"/>
      <c r="V42" s="707"/>
      <c r="W42" s="428"/>
      <c r="AH42" s="660">
        <v>40</v>
      </c>
      <c r="AI42" s="660">
        <f t="shared" si="0"/>
        <v>3</v>
      </c>
      <c r="AJ42" s="660">
        <f t="shared" si="1"/>
        <v>2018</v>
      </c>
    </row>
    <row r="43" spans="1:36" ht="12.75" customHeight="1" thickBot="1">
      <c r="A43" s="428"/>
      <c r="B43" s="703"/>
      <c r="C43" s="706" t="s">
        <v>237</v>
      </c>
      <c r="D43" s="706"/>
      <c r="E43" s="937"/>
      <c r="F43" s="938"/>
      <c r="G43" s="938"/>
      <c r="H43" s="939"/>
      <c r="I43" s="940" t="s">
        <v>238</v>
      </c>
      <c r="J43" s="941"/>
      <c r="K43" s="942"/>
      <c r="L43" s="943"/>
      <c r="M43" s="944"/>
      <c r="N43" s="710"/>
      <c r="O43" s="710"/>
      <c r="P43" s="710"/>
      <c r="Q43" s="710"/>
      <c r="R43" s="706"/>
      <c r="S43" s="705"/>
      <c r="T43" s="709"/>
      <c r="U43" s="705"/>
      <c r="V43" s="707"/>
      <c r="W43" s="428"/>
      <c r="AH43" s="660">
        <v>41</v>
      </c>
      <c r="AI43" s="660">
        <f t="shared" si="0"/>
        <v>4</v>
      </c>
      <c r="AJ43" s="660">
        <f t="shared" si="1"/>
        <v>2018</v>
      </c>
    </row>
    <row r="44" spans="1:36" ht="6.95" customHeight="1">
      <c r="A44" s="428"/>
      <c r="B44" s="703"/>
      <c r="C44" s="706"/>
      <c r="D44" s="706"/>
      <c r="E44" s="706"/>
      <c r="F44" s="709"/>
      <c r="G44" s="705"/>
      <c r="H44" s="705"/>
      <c r="I44" s="705"/>
      <c r="J44" s="705"/>
      <c r="K44" s="705"/>
      <c r="L44" s="706"/>
      <c r="M44" s="709"/>
      <c r="N44" s="705"/>
      <c r="O44" s="705"/>
      <c r="P44" s="705"/>
      <c r="Q44" s="705"/>
      <c r="R44" s="706"/>
      <c r="S44" s="705"/>
      <c r="T44" s="709"/>
      <c r="U44" s="705"/>
      <c r="V44" s="707"/>
      <c r="W44" s="428"/>
      <c r="AH44" s="660">
        <v>42</v>
      </c>
      <c r="AI44" s="660">
        <f t="shared" si="0"/>
        <v>5</v>
      </c>
      <c r="AJ44" s="660">
        <f t="shared" si="1"/>
        <v>2018</v>
      </c>
    </row>
    <row r="45" spans="1:36" ht="12.75" customHeight="1">
      <c r="A45" s="428"/>
      <c r="B45" s="703"/>
      <c r="C45" s="704" t="s">
        <v>280</v>
      </c>
      <c r="D45" s="704"/>
      <c r="E45" s="704"/>
      <c r="F45" s="705"/>
      <c r="G45" s="705"/>
      <c r="H45" s="705"/>
      <c r="I45" s="705"/>
      <c r="J45" s="705"/>
      <c r="K45" s="705"/>
      <c r="L45" s="706"/>
      <c r="M45" s="705"/>
      <c r="N45" s="705"/>
      <c r="O45" s="705"/>
      <c r="P45" s="705"/>
      <c r="Q45" s="705"/>
      <c r="R45" s="706"/>
      <c r="S45" s="705"/>
      <c r="T45" s="705"/>
      <c r="U45" s="705"/>
      <c r="V45" s="707"/>
      <c r="W45" s="428"/>
      <c r="AD45" s="654">
        <f>DAY(AG3)</f>
        <v>20</v>
      </c>
      <c r="AF45" s="713" t="e">
        <f>DATE(AG3,AG3+15,AG3)</f>
        <v>#NUM!</v>
      </c>
      <c r="AH45" s="660">
        <v>43</v>
      </c>
      <c r="AI45" s="660">
        <f t="shared" si="0"/>
        <v>6</v>
      </c>
      <c r="AJ45" s="660">
        <f t="shared" si="1"/>
        <v>2018</v>
      </c>
    </row>
    <row r="46" spans="1:36" ht="6.95" customHeight="1" thickBot="1">
      <c r="A46" s="428"/>
      <c r="B46" s="703"/>
      <c r="C46" s="704"/>
      <c r="D46" s="704"/>
      <c r="E46" s="704"/>
      <c r="F46" s="705"/>
      <c r="G46" s="705"/>
      <c r="H46" s="705"/>
      <c r="I46" s="705"/>
      <c r="J46" s="705"/>
      <c r="K46" s="705"/>
      <c r="L46" s="706"/>
      <c r="M46" s="705"/>
      <c r="N46" s="705"/>
      <c r="O46" s="705"/>
      <c r="P46" s="705"/>
      <c r="Q46" s="705"/>
      <c r="R46" s="706"/>
      <c r="S46" s="705"/>
      <c r="T46" s="705"/>
      <c r="U46" s="705"/>
      <c r="V46" s="707"/>
      <c r="W46" s="428"/>
      <c r="AH46" s="660">
        <v>44</v>
      </c>
      <c r="AI46" s="660">
        <f t="shared" si="0"/>
        <v>7</v>
      </c>
      <c r="AJ46" s="660">
        <f t="shared" si="1"/>
        <v>2018</v>
      </c>
    </row>
    <row r="47" spans="1:36" ht="12.75" customHeight="1" thickBot="1">
      <c r="A47" s="428"/>
      <c r="B47" s="703"/>
      <c r="C47" s="706" t="s">
        <v>272</v>
      </c>
      <c r="D47" s="706"/>
      <c r="E47" s="928"/>
      <c r="F47" s="929"/>
      <c r="G47" s="929"/>
      <c r="H47" s="929"/>
      <c r="I47" s="929"/>
      <c r="J47" s="929"/>
      <c r="K47" s="930"/>
      <c r="L47" s="705"/>
      <c r="M47" s="705"/>
      <c r="N47" s="705"/>
      <c r="O47" s="705"/>
      <c r="P47" s="705"/>
      <c r="Q47" s="705"/>
      <c r="R47" s="705"/>
      <c r="S47" s="705"/>
      <c r="T47" s="705"/>
      <c r="U47" s="705"/>
      <c r="V47" s="707"/>
      <c r="W47" s="428"/>
      <c r="Z47" s="654">
        <f>IF(E47&gt;0,1,0)</f>
        <v>0</v>
      </c>
      <c r="AD47" s="654">
        <f>MONTH(AG3)</f>
        <v>11</v>
      </c>
      <c r="AH47" s="660">
        <v>45</v>
      </c>
      <c r="AI47" s="660">
        <f t="shared" si="0"/>
        <v>8</v>
      </c>
      <c r="AJ47" s="660">
        <f t="shared" si="1"/>
        <v>2018</v>
      </c>
    </row>
    <row r="48" spans="1:36" ht="12.75" customHeight="1" thickBot="1">
      <c r="A48" s="428"/>
      <c r="B48" s="703"/>
      <c r="C48" s="706" t="s">
        <v>233</v>
      </c>
      <c r="D48" s="705"/>
      <c r="E48" s="932"/>
      <c r="F48" s="913"/>
      <c r="G48" s="913"/>
      <c r="H48" s="913"/>
      <c r="I48" s="913"/>
      <c r="J48" s="933"/>
      <c r="K48" s="708"/>
      <c r="L48" s="706" t="s">
        <v>234</v>
      </c>
      <c r="M48" s="705"/>
      <c r="N48" s="934"/>
      <c r="O48" s="935"/>
      <c r="P48" s="935"/>
      <c r="Q48" s="935"/>
      <c r="R48" s="935"/>
      <c r="S48" s="936"/>
      <c r="T48" s="709"/>
      <c r="U48" s="705"/>
      <c r="V48" s="707"/>
      <c r="W48" s="428"/>
      <c r="AH48" s="660">
        <v>46</v>
      </c>
      <c r="AI48" s="660">
        <f t="shared" si="0"/>
        <v>9</v>
      </c>
      <c r="AJ48" s="660">
        <f t="shared" si="1"/>
        <v>2018</v>
      </c>
    </row>
    <row r="49" spans="1:36" ht="12.75" customHeight="1" thickBot="1">
      <c r="A49" s="428"/>
      <c r="B49" s="703"/>
      <c r="C49" s="706" t="s">
        <v>237</v>
      </c>
      <c r="D49" s="706"/>
      <c r="E49" s="937"/>
      <c r="F49" s="938"/>
      <c r="G49" s="938"/>
      <c r="H49" s="939"/>
      <c r="I49" s="940" t="s">
        <v>238</v>
      </c>
      <c r="J49" s="941"/>
      <c r="K49" s="942"/>
      <c r="L49" s="943"/>
      <c r="M49" s="944"/>
      <c r="N49" s="710"/>
      <c r="O49" s="710"/>
      <c r="P49" s="710"/>
      <c r="Q49" s="710"/>
      <c r="R49" s="706"/>
      <c r="S49" s="705"/>
      <c r="T49" s="709"/>
      <c r="U49" s="705"/>
      <c r="V49" s="707"/>
      <c r="W49" s="428"/>
      <c r="AD49" s="654">
        <f>YEAR(AG3)</f>
        <v>2015</v>
      </c>
      <c r="AH49" s="660">
        <v>47</v>
      </c>
      <c r="AI49" s="660">
        <f t="shared" si="0"/>
        <v>10</v>
      </c>
      <c r="AJ49" s="660">
        <f t="shared" si="1"/>
        <v>2018</v>
      </c>
    </row>
    <row r="50" spans="1:36" ht="6.95" customHeight="1">
      <c r="A50" s="428"/>
      <c r="B50" s="703"/>
      <c r="C50" s="706"/>
      <c r="D50" s="706"/>
      <c r="E50" s="706"/>
      <c r="F50" s="709"/>
      <c r="G50" s="705"/>
      <c r="H50" s="705"/>
      <c r="I50" s="705"/>
      <c r="J50" s="705"/>
      <c r="K50" s="705"/>
      <c r="L50" s="706"/>
      <c r="M50" s="709"/>
      <c r="N50" s="705"/>
      <c r="O50" s="705"/>
      <c r="P50" s="705"/>
      <c r="Q50" s="705"/>
      <c r="R50" s="706"/>
      <c r="S50" s="705"/>
      <c r="T50" s="709"/>
      <c r="U50" s="705"/>
      <c r="V50" s="707"/>
      <c r="W50" s="428"/>
      <c r="AH50" s="660">
        <v>48</v>
      </c>
      <c r="AI50" s="660">
        <f t="shared" si="0"/>
        <v>11</v>
      </c>
      <c r="AJ50" s="660">
        <f t="shared" si="1"/>
        <v>2018</v>
      </c>
    </row>
    <row r="51" spans="1:36" ht="12.75" customHeight="1" thickBot="1">
      <c r="A51" s="428"/>
      <c r="B51" s="703"/>
      <c r="C51" s="706" t="s">
        <v>276</v>
      </c>
      <c r="D51" s="706"/>
      <c r="E51" s="706"/>
      <c r="F51" s="709"/>
      <c r="G51" s="705"/>
      <c r="H51" s="705"/>
      <c r="I51" s="705"/>
      <c r="J51" s="705"/>
      <c r="K51" s="705"/>
      <c r="L51" s="706"/>
      <c r="M51" s="709"/>
      <c r="N51" s="705"/>
      <c r="O51" s="705"/>
      <c r="P51" s="705"/>
      <c r="Q51" s="705"/>
      <c r="R51" s="706"/>
      <c r="S51" s="705"/>
      <c r="T51" s="709"/>
      <c r="U51" s="705"/>
      <c r="V51" s="707"/>
      <c r="W51" s="428"/>
      <c r="AH51" s="660">
        <v>49</v>
      </c>
      <c r="AI51" s="660">
        <f t="shared" si="0"/>
        <v>12</v>
      </c>
      <c r="AJ51" s="660">
        <f t="shared" si="1"/>
        <v>2018</v>
      </c>
    </row>
    <row r="52" spans="1:36" ht="12.75" customHeight="1" thickBot="1">
      <c r="A52" s="428"/>
      <c r="B52" s="703"/>
      <c r="C52" s="706" t="s">
        <v>277</v>
      </c>
      <c r="D52" s="706"/>
      <c r="E52" s="928"/>
      <c r="F52" s="929"/>
      <c r="G52" s="929"/>
      <c r="H52" s="929"/>
      <c r="I52" s="929"/>
      <c r="J52" s="929"/>
      <c r="K52" s="929"/>
      <c r="L52" s="930"/>
      <c r="M52" s="706" t="s">
        <v>281</v>
      </c>
      <c r="N52" s="705"/>
      <c r="O52" s="928"/>
      <c r="P52" s="929"/>
      <c r="Q52" s="929"/>
      <c r="R52" s="929"/>
      <c r="S52" s="930"/>
      <c r="T52" s="709"/>
      <c r="U52" s="705"/>
      <c r="V52" s="707"/>
      <c r="W52" s="428"/>
      <c r="AH52" s="660">
        <v>50</v>
      </c>
      <c r="AI52" s="660">
        <f t="shared" si="0"/>
        <v>1</v>
      </c>
      <c r="AJ52" s="660">
        <f t="shared" si="1"/>
        <v>2019</v>
      </c>
    </row>
    <row r="53" spans="1:36" ht="12.75" customHeight="1" thickBot="1">
      <c r="A53" s="428"/>
      <c r="B53" s="703"/>
      <c r="C53" s="706" t="s">
        <v>278</v>
      </c>
      <c r="D53" s="706"/>
      <c r="E53" s="945"/>
      <c r="F53" s="946"/>
      <c r="G53" s="946"/>
      <c r="H53" s="946"/>
      <c r="I53" s="946"/>
      <c r="J53" s="946"/>
      <c r="K53" s="947"/>
      <c r="L53" s="708" t="s">
        <v>249</v>
      </c>
      <c r="M53" s="934"/>
      <c r="N53" s="935"/>
      <c r="O53" s="946"/>
      <c r="P53" s="946"/>
      <c r="Q53" s="947"/>
      <c r="R53" s="711" t="s">
        <v>250</v>
      </c>
      <c r="S53" s="937"/>
      <c r="T53" s="948"/>
      <c r="U53" s="712"/>
      <c r="V53" s="707"/>
      <c r="W53" s="428"/>
      <c r="Y53" s="714"/>
      <c r="AH53" s="660">
        <v>51</v>
      </c>
      <c r="AI53" s="660">
        <f t="shared" si="0"/>
        <v>2</v>
      </c>
      <c r="AJ53" s="660">
        <f t="shared" si="1"/>
        <v>2019</v>
      </c>
    </row>
    <row r="54" spans="1:36" ht="6.95" customHeight="1">
      <c r="A54" s="428"/>
      <c r="B54" s="703"/>
      <c r="C54" s="706"/>
      <c r="D54" s="706"/>
      <c r="E54" s="706"/>
      <c r="F54" s="709"/>
      <c r="G54" s="705"/>
      <c r="H54" s="705"/>
      <c r="I54" s="705"/>
      <c r="J54" s="705"/>
      <c r="K54" s="705"/>
      <c r="L54" s="706"/>
      <c r="M54" s="709"/>
      <c r="N54" s="705"/>
      <c r="O54" s="705"/>
      <c r="P54" s="705"/>
      <c r="Q54" s="705"/>
      <c r="R54" s="706"/>
      <c r="S54" s="705"/>
      <c r="T54" s="709"/>
      <c r="U54" s="705"/>
      <c r="V54" s="707"/>
      <c r="W54" s="428"/>
      <c r="AH54" s="660">
        <v>52</v>
      </c>
      <c r="AI54" s="660">
        <f t="shared" si="0"/>
        <v>3</v>
      </c>
      <c r="AJ54" s="660">
        <f t="shared" si="1"/>
        <v>2019</v>
      </c>
    </row>
    <row r="55" spans="1:36" ht="12.75" customHeight="1">
      <c r="A55" s="428"/>
      <c r="B55" s="703"/>
      <c r="C55" s="704" t="s">
        <v>282</v>
      </c>
      <c r="D55" s="704"/>
      <c r="E55" s="704"/>
      <c r="F55" s="705"/>
      <c r="G55" s="705"/>
      <c r="H55" s="705"/>
      <c r="I55" s="705"/>
      <c r="J55" s="705"/>
      <c r="K55" s="705"/>
      <c r="L55" s="706"/>
      <c r="M55" s="705"/>
      <c r="N55" s="705"/>
      <c r="O55" s="705"/>
      <c r="P55" s="705"/>
      <c r="Q55" s="705"/>
      <c r="R55" s="706"/>
      <c r="S55" s="705"/>
      <c r="T55" s="705"/>
      <c r="U55" s="705"/>
      <c r="V55" s="707"/>
      <c r="W55" s="428"/>
      <c r="AH55" s="660">
        <v>53</v>
      </c>
      <c r="AI55" s="660">
        <f t="shared" si="0"/>
        <v>4</v>
      </c>
      <c r="AJ55" s="660">
        <f t="shared" si="1"/>
        <v>2019</v>
      </c>
    </row>
    <row r="56" spans="1:36" ht="6.95" customHeight="1" thickBot="1">
      <c r="A56" s="428"/>
      <c r="B56" s="703"/>
      <c r="C56" s="704"/>
      <c r="D56" s="704"/>
      <c r="E56" s="704"/>
      <c r="F56" s="705"/>
      <c r="G56" s="705"/>
      <c r="H56" s="705"/>
      <c r="I56" s="705"/>
      <c r="J56" s="705"/>
      <c r="K56" s="705"/>
      <c r="L56" s="706"/>
      <c r="M56" s="705"/>
      <c r="N56" s="705"/>
      <c r="O56" s="705"/>
      <c r="P56" s="705"/>
      <c r="Q56" s="705"/>
      <c r="R56" s="706"/>
      <c r="S56" s="705"/>
      <c r="T56" s="705"/>
      <c r="U56" s="705"/>
      <c r="V56" s="707"/>
      <c r="W56" s="428"/>
      <c r="AH56" s="660">
        <v>54</v>
      </c>
      <c r="AI56" s="660">
        <f t="shared" si="0"/>
        <v>5</v>
      </c>
      <c r="AJ56" s="660">
        <f t="shared" si="1"/>
        <v>2019</v>
      </c>
    </row>
    <row r="57" spans="1:36" ht="12.75" customHeight="1" thickBot="1">
      <c r="A57" s="428"/>
      <c r="B57" s="703"/>
      <c r="C57" s="706" t="s">
        <v>272</v>
      </c>
      <c r="D57" s="706"/>
      <c r="E57" s="928"/>
      <c r="F57" s="929"/>
      <c r="G57" s="929"/>
      <c r="H57" s="929"/>
      <c r="I57" s="929"/>
      <c r="J57" s="929"/>
      <c r="K57" s="930"/>
      <c r="L57" s="705"/>
      <c r="M57" s="705"/>
      <c r="N57" s="705"/>
      <c r="O57" s="705"/>
      <c r="P57" s="705"/>
      <c r="Q57" s="705"/>
      <c r="R57" s="705"/>
      <c r="S57" s="705"/>
      <c r="T57" s="705"/>
      <c r="U57" s="705"/>
      <c r="V57" s="707"/>
      <c r="W57" s="428"/>
      <c r="Z57" s="654">
        <f>IF(E57&gt;0,1,0)</f>
        <v>0</v>
      </c>
      <c r="AH57" s="660">
        <v>55</v>
      </c>
      <c r="AI57" s="660">
        <f t="shared" si="0"/>
        <v>6</v>
      </c>
      <c r="AJ57" s="660">
        <f t="shared" si="1"/>
        <v>2019</v>
      </c>
    </row>
    <row r="58" spans="1:36" ht="12.75" customHeight="1" thickBot="1">
      <c r="A58" s="428"/>
      <c r="B58" s="703"/>
      <c r="C58" s="706" t="s">
        <v>233</v>
      </c>
      <c r="D58" s="705"/>
      <c r="E58" s="932"/>
      <c r="F58" s="913"/>
      <c r="G58" s="913"/>
      <c r="H58" s="913"/>
      <c r="I58" s="913"/>
      <c r="J58" s="933"/>
      <c r="K58" s="708"/>
      <c r="L58" s="706" t="s">
        <v>234</v>
      </c>
      <c r="M58" s="705"/>
      <c r="N58" s="934"/>
      <c r="O58" s="935"/>
      <c r="P58" s="935"/>
      <c r="Q58" s="935"/>
      <c r="R58" s="935"/>
      <c r="S58" s="936"/>
      <c r="T58" s="709"/>
      <c r="U58" s="705"/>
      <c r="V58" s="707"/>
      <c r="W58" s="428"/>
      <c r="AH58" s="660">
        <v>56</v>
      </c>
      <c r="AI58" s="660">
        <f t="shared" si="0"/>
        <v>7</v>
      </c>
      <c r="AJ58" s="660">
        <f t="shared" si="1"/>
        <v>2019</v>
      </c>
    </row>
    <row r="59" spans="1:36" ht="12.75" customHeight="1" thickBot="1">
      <c r="A59" s="428"/>
      <c r="B59" s="703"/>
      <c r="C59" s="706" t="s">
        <v>237</v>
      </c>
      <c r="D59" s="706"/>
      <c r="E59" s="937"/>
      <c r="F59" s="938"/>
      <c r="G59" s="938"/>
      <c r="H59" s="939"/>
      <c r="I59" s="940" t="s">
        <v>238</v>
      </c>
      <c r="J59" s="941"/>
      <c r="K59" s="942"/>
      <c r="L59" s="943"/>
      <c r="M59" s="944"/>
      <c r="N59" s="710"/>
      <c r="O59" s="710"/>
      <c r="P59" s="710"/>
      <c r="Q59" s="710"/>
      <c r="R59" s="706"/>
      <c r="S59" s="705"/>
      <c r="T59" s="709"/>
      <c r="U59" s="705"/>
      <c r="V59" s="707"/>
      <c r="W59" s="428"/>
      <c r="AH59" s="660">
        <v>57</v>
      </c>
      <c r="AI59" s="660">
        <f t="shared" si="0"/>
        <v>8</v>
      </c>
      <c r="AJ59" s="660">
        <f t="shared" si="1"/>
        <v>2019</v>
      </c>
    </row>
    <row r="60" spans="1:36" ht="6.95" customHeight="1">
      <c r="A60" s="428"/>
      <c r="B60" s="715"/>
      <c r="C60" s="716"/>
      <c r="D60" s="716"/>
      <c r="E60" s="716"/>
      <c r="F60" s="717"/>
      <c r="G60" s="718"/>
      <c r="H60" s="718"/>
      <c r="I60" s="718"/>
      <c r="J60" s="718"/>
      <c r="K60" s="718"/>
      <c r="L60" s="716"/>
      <c r="M60" s="717"/>
      <c r="N60" s="718"/>
      <c r="O60" s="718"/>
      <c r="P60" s="718"/>
      <c r="Q60" s="718"/>
      <c r="R60" s="716"/>
      <c r="S60" s="718"/>
      <c r="T60" s="717"/>
      <c r="U60" s="718"/>
      <c r="V60" s="719"/>
      <c r="W60" s="428"/>
      <c r="AH60" s="660">
        <v>58</v>
      </c>
      <c r="AI60" s="660">
        <f t="shared" si="0"/>
        <v>9</v>
      </c>
      <c r="AJ60" s="660">
        <f t="shared" si="1"/>
        <v>2019</v>
      </c>
    </row>
    <row r="61" spans="1:36" ht="12.75" customHeight="1">
      <c r="A61" s="428"/>
      <c r="B61" s="424"/>
      <c r="C61" s="424"/>
      <c r="D61" s="424"/>
      <c r="E61" s="424"/>
      <c r="F61" s="720"/>
      <c r="G61" s="425"/>
      <c r="H61" s="425"/>
      <c r="I61" s="425"/>
      <c r="J61" s="425"/>
      <c r="K61" s="425"/>
      <c r="L61" s="424"/>
      <c r="M61" s="720"/>
      <c r="N61" s="425"/>
      <c r="O61" s="425"/>
      <c r="P61" s="425"/>
      <c r="Q61" s="425"/>
      <c r="R61" s="424"/>
      <c r="S61" s="425"/>
      <c r="T61" s="720"/>
      <c r="U61" s="425"/>
      <c r="V61" s="425"/>
      <c r="W61" s="428"/>
      <c r="AH61" s="660">
        <v>59</v>
      </c>
      <c r="AI61" s="660">
        <f t="shared" si="0"/>
        <v>10</v>
      </c>
      <c r="AJ61" s="660">
        <f t="shared" si="1"/>
        <v>2019</v>
      </c>
    </row>
    <row r="62" spans="1:36" ht="12.75" customHeight="1">
      <c r="A62" s="428"/>
      <c r="B62" s="424"/>
      <c r="C62" s="669" t="s">
        <v>283</v>
      </c>
      <c r="D62" s="424"/>
      <c r="E62" s="424"/>
      <c r="F62" s="720"/>
      <c r="G62" s="425"/>
      <c r="H62" s="425"/>
      <c r="I62" s="425"/>
      <c r="J62" s="425"/>
      <c r="K62" s="425"/>
      <c r="L62" s="424"/>
      <c r="M62" s="720"/>
      <c r="N62" s="425"/>
      <c r="O62" s="425"/>
      <c r="P62" s="425"/>
      <c r="Q62" s="425"/>
      <c r="R62" s="424"/>
      <c r="S62" s="425"/>
      <c r="T62" s="720"/>
      <c r="U62" s="425"/>
      <c r="V62" s="425"/>
      <c r="W62" s="428"/>
      <c r="AH62" s="660">
        <v>60</v>
      </c>
      <c r="AI62" s="660">
        <f t="shared" si="0"/>
        <v>11</v>
      </c>
      <c r="AJ62" s="660">
        <f t="shared" si="1"/>
        <v>2019</v>
      </c>
    </row>
    <row r="63" spans="1:36" ht="6.95" customHeight="1" thickBot="1">
      <c r="A63" s="428"/>
      <c r="B63" s="428"/>
      <c r="C63" s="428"/>
      <c r="D63" s="721"/>
      <c r="E63" s="721"/>
      <c r="F63" s="428"/>
      <c r="G63" s="428"/>
      <c r="H63" s="428"/>
      <c r="I63" s="428"/>
      <c r="J63" s="428"/>
      <c r="K63" s="428"/>
      <c r="L63" s="428"/>
      <c r="M63" s="428"/>
      <c r="N63" s="428"/>
      <c r="O63" s="428"/>
      <c r="P63" s="428"/>
      <c r="Q63" s="428"/>
      <c r="R63" s="428"/>
      <c r="S63" s="428"/>
      <c r="T63" s="428"/>
      <c r="U63" s="428"/>
      <c r="V63" s="428"/>
      <c r="W63" s="428"/>
    </row>
    <row r="64" spans="1:36" ht="6.95" customHeight="1">
      <c r="A64" s="428"/>
      <c r="B64" s="722"/>
      <c r="C64" s="723"/>
      <c r="D64" s="724"/>
      <c r="E64" s="724"/>
      <c r="F64" s="723"/>
      <c r="G64" s="723"/>
      <c r="H64" s="723"/>
      <c r="I64" s="723"/>
      <c r="J64" s="723"/>
      <c r="K64" s="723"/>
      <c r="L64" s="723"/>
      <c r="M64" s="723"/>
      <c r="N64" s="723"/>
      <c r="O64" s="723"/>
      <c r="P64" s="723"/>
      <c r="Q64" s="723"/>
      <c r="R64" s="723"/>
      <c r="S64" s="723"/>
      <c r="T64" s="723"/>
      <c r="U64" s="723"/>
      <c r="V64" s="725"/>
      <c r="W64" s="428"/>
    </row>
    <row r="65" spans="1:32" ht="12.75" customHeight="1">
      <c r="A65" s="428"/>
      <c r="B65" s="434"/>
      <c r="C65" s="424" t="s">
        <v>284</v>
      </c>
      <c r="D65" s="424"/>
      <c r="E65" s="425"/>
      <c r="F65" s="949">
        <f>Cotizador!D67</f>
        <v>0</v>
      </c>
      <c r="G65" s="950"/>
      <c r="H65" s="726"/>
      <c r="I65" s="424" t="s">
        <v>285</v>
      </c>
      <c r="J65" s="726"/>
      <c r="K65" s="951" t="s">
        <v>251</v>
      </c>
      <c r="L65" s="952"/>
      <c r="M65" s="425"/>
      <c r="N65" s="953" t="str">
        <f>IF(K65="SÍ","INDICAR LA ASEGURADORA DE LA PÓLIZA DE SEGURO GRATIS","INDICAR LA PÓLIZA SELECCIONADA POR EL TITULAR")</f>
        <v>INDICAR LA ASEGURADORA DE LA PÓLIZA DE SEGURO GRATIS</v>
      </c>
      <c r="O65" s="953"/>
      <c r="P65" s="953"/>
      <c r="Q65" s="953"/>
      <c r="R65" s="953"/>
      <c r="S65" s="953"/>
      <c r="T65" s="953"/>
      <c r="U65" s="953"/>
      <c r="V65" s="429"/>
      <c r="W65" s="428"/>
      <c r="AD65" s="654" t="s">
        <v>140</v>
      </c>
    </row>
    <row r="66" spans="1:32" ht="12.75" customHeight="1">
      <c r="A66" s="428"/>
      <c r="B66" s="434"/>
      <c r="C66" s="424" t="s">
        <v>286</v>
      </c>
      <c r="D66" s="424"/>
      <c r="E66" s="425"/>
      <c r="F66" s="954"/>
      <c r="G66" s="955"/>
      <c r="H66" s="425"/>
      <c r="I66" s="424"/>
      <c r="J66" s="425"/>
      <c r="K66" s="425"/>
      <c r="L66" s="425"/>
      <c r="M66" s="425"/>
      <c r="N66" s="953"/>
      <c r="O66" s="953"/>
      <c r="P66" s="953"/>
      <c r="Q66" s="953"/>
      <c r="R66" s="953"/>
      <c r="S66" s="953"/>
      <c r="T66" s="953"/>
      <c r="U66" s="953"/>
      <c r="V66" s="429"/>
      <c r="W66" s="428"/>
      <c r="AD66" s="654" t="s">
        <v>145</v>
      </c>
    </row>
    <row r="67" spans="1:32">
      <c r="A67" s="428"/>
      <c r="B67" s="434"/>
      <c r="C67" s="424" t="s">
        <v>71</v>
      </c>
      <c r="D67" s="424"/>
      <c r="E67" s="425"/>
      <c r="F67" s="956"/>
      <c r="G67" s="957"/>
      <c r="H67" s="425"/>
      <c r="I67" s="424" t="s">
        <v>287</v>
      </c>
      <c r="J67" s="425"/>
      <c r="K67" s="958">
        <f>Cotizador!Q32</f>
        <v>41963</v>
      </c>
      <c r="L67" s="959"/>
      <c r="M67" s="425"/>
      <c r="N67" s="428"/>
      <c r="O67" s="727" t="s">
        <v>288</v>
      </c>
      <c r="P67" s="960" t="str">
        <f>Cotizador!D28</f>
        <v>AXA</v>
      </c>
      <c r="Q67" s="961"/>
      <c r="R67" s="428"/>
      <c r="S67" s="428"/>
      <c r="T67" s="428"/>
      <c r="U67" s="428"/>
      <c r="V67" s="429"/>
      <c r="W67" s="428"/>
      <c r="AD67" s="654" t="s">
        <v>289</v>
      </c>
    </row>
    <row r="68" spans="1:32">
      <c r="A68" s="428"/>
      <c r="B68" s="434"/>
      <c r="C68" s="424" t="s">
        <v>290</v>
      </c>
      <c r="D68" s="424"/>
      <c r="E68" s="425"/>
      <c r="F68" s="968" t="e">
        <f>F66/VLOOKUP(F65,$AC$13:$AE$17,3,FALSE)</f>
        <v>#N/A</v>
      </c>
      <c r="G68" s="969"/>
      <c r="H68" s="427"/>
      <c r="I68" s="427"/>
      <c r="J68" s="427"/>
      <c r="K68" s="427"/>
      <c r="L68" s="425"/>
      <c r="M68" s="425"/>
      <c r="N68" s="728"/>
      <c r="O68" s="728"/>
      <c r="P68" s="728"/>
      <c r="Q68" s="728"/>
      <c r="R68" s="728"/>
      <c r="S68" s="728"/>
      <c r="T68" s="728"/>
      <c r="U68" s="728"/>
      <c r="V68" s="429"/>
      <c r="W68" s="428"/>
      <c r="Z68" s="654" t="e">
        <f>INT(F66/VLOOKUP(F65,$AC$13:$AE$17,3,FALSE))</f>
        <v>#N/A</v>
      </c>
      <c r="AA68" s="654" t="e">
        <f>F68</f>
        <v>#N/A</v>
      </c>
      <c r="AB68" s="654" t="e">
        <f>IF(Z68=AA68,0,1)</f>
        <v>#N/A</v>
      </c>
      <c r="AF68" s="654" t="s">
        <v>291</v>
      </c>
    </row>
    <row r="69" spans="1:32" ht="12.75" customHeight="1">
      <c r="A69" s="428"/>
      <c r="B69" s="434"/>
      <c r="C69" s="424" t="s">
        <v>70</v>
      </c>
      <c r="D69" s="424"/>
      <c r="E69" s="425"/>
      <c r="F69" s="970" t="e">
        <f>F67/F68</f>
        <v>#N/A</v>
      </c>
      <c r="G69" s="971"/>
      <c r="H69" s="427"/>
      <c r="I69" s="428"/>
      <c r="J69" s="727" t="s">
        <v>292</v>
      </c>
      <c r="K69" s="960" t="s">
        <v>113</v>
      </c>
      <c r="L69" s="961"/>
      <c r="M69" s="972" t="e">
        <f>IF(AB68=1,"EXISTE UN DATO MAL CAPTURADO, FAVOR DE VERIFICAR","")</f>
        <v>#N/A</v>
      </c>
      <c r="N69" s="972"/>
      <c r="O69" s="972"/>
      <c r="P69" s="972"/>
      <c r="Q69" s="972"/>
      <c r="R69" s="972"/>
      <c r="S69" s="972"/>
      <c r="T69" s="972"/>
      <c r="U69" s="972"/>
      <c r="V69" s="429"/>
      <c r="W69" s="428"/>
      <c r="AF69" s="654" t="s">
        <v>293</v>
      </c>
    </row>
    <row r="70" spans="1:32">
      <c r="A70" s="428"/>
      <c r="B70" s="434"/>
      <c r="C70" s="424"/>
      <c r="D70" s="424"/>
      <c r="E70" s="425"/>
      <c r="F70" s="426"/>
      <c r="G70" s="426"/>
      <c r="H70" s="427"/>
      <c r="I70" s="428"/>
      <c r="J70" s="428"/>
      <c r="K70" s="428"/>
      <c r="L70" s="428"/>
      <c r="M70" s="428"/>
      <c r="N70" s="729"/>
      <c r="O70" s="729"/>
      <c r="P70" s="729"/>
      <c r="Q70" s="729"/>
      <c r="R70" s="729"/>
      <c r="S70" s="729"/>
      <c r="T70" s="729"/>
      <c r="U70" s="729"/>
      <c r="V70" s="429"/>
      <c r="W70" s="428"/>
    </row>
    <row r="71" spans="1:32">
      <c r="A71" s="428"/>
      <c r="B71" s="434"/>
      <c r="C71" s="730" t="s">
        <v>294</v>
      </c>
      <c r="D71" s="424"/>
      <c r="E71" s="425"/>
      <c r="F71" s="426"/>
      <c r="G71" s="426"/>
      <c r="H71" s="427"/>
      <c r="I71" s="428"/>
      <c r="J71" s="428"/>
      <c r="K71" s="428"/>
      <c r="L71" s="428"/>
      <c r="M71" s="428"/>
      <c r="N71" s="731"/>
      <c r="O71" s="731"/>
      <c r="P71" s="731"/>
      <c r="Q71" s="731"/>
      <c r="R71" s="731"/>
      <c r="S71" s="731"/>
      <c r="T71" s="731"/>
      <c r="U71" s="731"/>
      <c r="V71" s="429"/>
      <c r="W71" s="428"/>
    </row>
    <row r="72" spans="1:32">
      <c r="A72" s="428"/>
      <c r="B72" s="434"/>
      <c r="C72" s="424"/>
      <c r="D72" s="424"/>
      <c r="E72" s="425"/>
      <c r="F72" s="426"/>
      <c r="G72" s="426"/>
      <c r="H72" s="427"/>
      <c r="I72" s="428"/>
      <c r="J72" s="428"/>
      <c r="K72" s="428"/>
      <c r="L72" s="428"/>
      <c r="M72" s="428"/>
      <c r="N72" s="731"/>
      <c r="O72" s="731"/>
      <c r="P72" s="731"/>
      <c r="Q72" s="731"/>
      <c r="R72" s="731"/>
      <c r="S72" s="731"/>
      <c r="T72" s="731"/>
      <c r="U72" s="731"/>
      <c r="V72" s="429"/>
      <c r="W72" s="428"/>
    </row>
    <row r="73" spans="1:32">
      <c r="A73" s="428"/>
      <c r="B73" s="434"/>
      <c r="C73" s="430" t="s">
        <v>295</v>
      </c>
      <c r="D73" s="424"/>
      <c r="E73" s="425"/>
      <c r="F73" s="426"/>
      <c r="G73" s="426"/>
      <c r="H73" s="432"/>
      <c r="I73" s="432"/>
      <c r="J73" s="432"/>
      <c r="K73" s="432"/>
      <c r="L73" s="432"/>
      <c r="M73" s="432"/>
      <c r="N73" s="432"/>
      <c r="O73" s="432"/>
      <c r="P73" s="432"/>
      <c r="Q73" s="431"/>
      <c r="R73" s="425"/>
      <c r="S73" s="425"/>
      <c r="T73" s="425"/>
      <c r="U73" s="425"/>
      <c r="V73" s="429"/>
      <c r="W73" s="428"/>
      <c r="AF73" s="654" t="s">
        <v>296</v>
      </c>
    </row>
    <row r="74" spans="1:32">
      <c r="A74" s="428"/>
      <c r="B74" s="434"/>
      <c r="C74" s="424"/>
      <c r="D74" s="424"/>
      <c r="E74" s="425"/>
      <c r="F74" s="426"/>
      <c r="G74" s="426"/>
      <c r="H74" s="427"/>
      <c r="I74" s="431"/>
      <c r="J74" s="431"/>
      <c r="K74" s="431"/>
      <c r="L74" s="431"/>
      <c r="M74" s="431"/>
      <c r="N74" s="431"/>
      <c r="O74" s="431"/>
      <c r="P74" s="431"/>
      <c r="Q74" s="431"/>
      <c r="R74" s="425"/>
      <c r="S74" s="425"/>
      <c r="T74" s="425"/>
      <c r="U74" s="425"/>
      <c r="V74" s="429"/>
      <c r="W74" s="428"/>
      <c r="Y74" s="654" t="s">
        <v>297</v>
      </c>
      <c r="AA74" s="654" t="s">
        <v>113</v>
      </c>
      <c r="AC74" s="654" t="s">
        <v>298</v>
      </c>
      <c r="AF74" s="654" t="s">
        <v>299</v>
      </c>
    </row>
    <row r="75" spans="1:32">
      <c r="A75" s="428"/>
      <c r="B75" s="434"/>
      <c r="C75" s="424" t="s">
        <v>300</v>
      </c>
      <c r="D75" s="973"/>
      <c r="E75" s="974"/>
      <c r="F75" s="975"/>
      <c r="G75" s="432"/>
      <c r="H75" s="427"/>
      <c r="I75" s="431"/>
      <c r="J75" s="433" t="s">
        <v>301</v>
      </c>
      <c r="K75" s="962"/>
      <c r="L75" s="963"/>
      <c r="M75" s="963"/>
      <c r="N75" s="963"/>
      <c r="O75" s="963"/>
      <c r="P75" s="963"/>
      <c r="Q75" s="963"/>
      <c r="R75" s="963"/>
      <c r="S75" s="963"/>
      <c r="T75" s="964"/>
      <c r="U75" s="425"/>
      <c r="V75" s="429"/>
      <c r="W75" s="428"/>
      <c r="Y75" s="654" t="s">
        <v>302</v>
      </c>
      <c r="AA75" s="654" t="s">
        <v>303</v>
      </c>
      <c r="AC75" s="654" t="s">
        <v>304</v>
      </c>
    </row>
    <row r="76" spans="1:32">
      <c r="A76" s="428"/>
      <c r="B76" s="434"/>
      <c r="C76" s="424"/>
      <c r="D76" s="435"/>
      <c r="E76" s="435"/>
      <c r="F76" s="435"/>
      <c r="G76" s="436"/>
      <c r="H76" s="427"/>
      <c r="I76" s="431"/>
      <c r="J76" s="431"/>
      <c r="K76" s="431"/>
      <c r="L76" s="431"/>
      <c r="M76" s="431"/>
      <c r="N76" s="431"/>
      <c r="O76" s="431"/>
      <c r="P76" s="431"/>
      <c r="Q76" s="431"/>
      <c r="R76" s="425"/>
      <c r="S76" s="425"/>
      <c r="T76" s="425"/>
      <c r="U76" s="425"/>
      <c r="V76" s="429"/>
      <c r="W76" s="428"/>
    </row>
    <row r="77" spans="1:32">
      <c r="A77" s="428"/>
      <c r="B77" s="434"/>
      <c r="C77" s="432"/>
      <c r="D77" s="424"/>
      <c r="E77" s="425"/>
      <c r="F77" s="426"/>
      <c r="G77" s="426"/>
      <c r="H77" s="427"/>
      <c r="I77" s="431"/>
      <c r="J77" s="437" t="s">
        <v>305</v>
      </c>
      <c r="K77" s="962"/>
      <c r="L77" s="963"/>
      <c r="M77" s="963"/>
      <c r="N77" s="963"/>
      <c r="O77" s="963"/>
      <c r="P77" s="963"/>
      <c r="Q77" s="963"/>
      <c r="R77" s="963"/>
      <c r="S77" s="963"/>
      <c r="T77" s="964"/>
      <c r="U77" s="425"/>
      <c r="V77" s="429"/>
      <c r="W77" s="428"/>
    </row>
    <row r="78" spans="1:32" ht="6.95" customHeight="1" thickBot="1">
      <c r="A78" s="428"/>
      <c r="B78" s="438"/>
      <c r="C78" s="439"/>
      <c r="D78" s="439"/>
      <c r="E78" s="439"/>
      <c r="F78" s="439"/>
      <c r="G78" s="439"/>
      <c r="H78" s="439"/>
      <c r="I78" s="439"/>
      <c r="J78" s="439"/>
      <c r="K78" s="439"/>
      <c r="L78" s="439"/>
      <c r="M78" s="439"/>
      <c r="N78" s="439"/>
      <c r="O78" s="439"/>
      <c r="P78" s="439"/>
      <c r="Q78" s="439"/>
      <c r="R78" s="439"/>
      <c r="S78" s="439"/>
      <c r="T78" s="439"/>
      <c r="U78" s="439"/>
      <c r="V78" s="732"/>
      <c r="W78" s="428"/>
    </row>
    <row r="79" spans="1:32">
      <c r="A79" s="428"/>
      <c r="B79" s="428"/>
      <c r="C79" s="428"/>
      <c r="D79" s="428"/>
      <c r="E79" s="428"/>
      <c r="F79" s="428"/>
      <c r="G79" s="428"/>
      <c r="H79" s="428"/>
      <c r="I79" s="428"/>
      <c r="J79" s="428"/>
      <c r="K79" s="428"/>
      <c r="L79" s="428"/>
      <c r="M79" s="428"/>
      <c r="N79" s="428"/>
      <c r="O79" s="428"/>
      <c r="P79" s="428"/>
      <c r="Q79" s="428"/>
      <c r="R79" s="428"/>
      <c r="S79" s="428"/>
      <c r="T79" s="428"/>
      <c r="U79" s="428"/>
      <c r="V79" s="428"/>
      <c r="W79" s="428"/>
    </row>
    <row r="80" spans="1:32">
      <c r="A80" s="428"/>
      <c r="B80" s="428"/>
      <c r="C80" s="428"/>
      <c r="D80" s="733" t="s">
        <v>306</v>
      </c>
      <c r="E80" s="965"/>
      <c r="F80" s="966"/>
      <c r="G80" s="966"/>
      <c r="H80" s="966"/>
      <c r="I80" s="966"/>
      <c r="J80" s="967"/>
      <c r="K80" s="428"/>
      <c r="L80" s="428"/>
      <c r="M80" s="428"/>
      <c r="N80" s="428"/>
      <c r="O80" s="733" t="s">
        <v>307</v>
      </c>
      <c r="P80" s="965"/>
      <c r="Q80" s="966"/>
      <c r="R80" s="966"/>
      <c r="S80" s="966"/>
      <c r="T80" s="966"/>
      <c r="U80" s="967"/>
      <c r="V80" s="428"/>
      <c r="W80" s="428"/>
    </row>
    <row r="81" spans="1:23">
      <c r="A81" s="428"/>
      <c r="B81" s="428"/>
      <c r="C81" s="428"/>
      <c r="D81" s="428"/>
      <c r="E81" s="428"/>
      <c r="F81" s="428"/>
      <c r="G81" s="428"/>
      <c r="H81" s="428"/>
      <c r="I81" s="428"/>
      <c r="J81" s="428"/>
      <c r="K81" s="428"/>
      <c r="L81" s="428"/>
      <c r="M81" s="428"/>
      <c r="N81" s="428"/>
      <c r="O81" s="428"/>
      <c r="P81" s="428"/>
      <c r="Q81" s="428"/>
      <c r="R81" s="428"/>
      <c r="S81" s="428"/>
      <c r="T81" s="428"/>
      <c r="U81" s="428"/>
      <c r="V81" s="428"/>
      <c r="W81" s="428"/>
    </row>
    <row r="82" spans="1:23" hidden="1"/>
  </sheetData>
  <sheetProtection password="F4F5" sheet="1" objects="1" scenarios="1" selectLockedCells="1" selectUnlockedCells="1"/>
  <mergeCells count="77">
    <mergeCell ref="D75:F75"/>
    <mergeCell ref="K75:T75"/>
    <mergeCell ref="F67:G67"/>
    <mergeCell ref="K67:L67"/>
    <mergeCell ref="P67:Q67"/>
    <mergeCell ref="K77:T77"/>
    <mergeCell ref="E80:J80"/>
    <mergeCell ref="P80:U80"/>
    <mergeCell ref="F68:G68"/>
    <mergeCell ref="F69:G69"/>
    <mergeCell ref="K69:L69"/>
    <mergeCell ref="M69:U69"/>
    <mergeCell ref="E59:H59"/>
    <mergeCell ref="I59:J59"/>
    <mergeCell ref="K59:M59"/>
    <mergeCell ref="F65:G65"/>
    <mergeCell ref="K65:L65"/>
    <mergeCell ref="N65:U66"/>
    <mergeCell ref="F66:G66"/>
    <mergeCell ref="I49:J49"/>
    <mergeCell ref="K49:M49"/>
    <mergeCell ref="E52:L52"/>
    <mergeCell ref="O52:S52"/>
    <mergeCell ref="E57:K57"/>
    <mergeCell ref="E58:J58"/>
    <mergeCell ref="N58:S58"/>
    <mergeCell ref="E53:K53"/>
    <mergeCell ref="M53:Q53"/>
    <mergeCell ref="S53:T53"/>
    <mergeCell ref="E43:H43"/>
    <mergeCell ref="I43:J43"/>
    <mergeCell ref="K43:M43"/>
    <mergeCell ref="E47:K47"/>
    <mergeCell ref="E48:J48"/>
    <mergeCell ref="N48:S48"/>
    <mergeCell ref="E49:H49"/>
    <mergeCell ref="E37:K37"/>
    <mergeCell ref="M37:Q37"/>
    <mergeCell ref="S37:T37"/>
    <mergeCell ref="E41:K41"/>
    <mergeCell ref="E42:J42"/>
    <mergeCell ref="N42:S42"/>
    <mergeCell ref="L23:O23"/>
    <mergeCell ref="R23:T23"/>
    <mergeCell ref="E31:K31"/>
    <mergeCell ref="E32:J32"/>
    <mergeCell ref="N32:S32"/>
    <mergeCell ref="E33:H33"/>
    <mergeCell ref="I33:J33"/>
    <mergeCell ref="K33:M33"/>
    <mergeCell ref="E17:L17"/>
    <mergeCell ref="O17:T17"/>
    <mergeCell ref="E18:K18"/>
    <mergeCell ref="M18:Q18"/>
    <mergeCell ref="S18:T18"/>
    <mergeCell ref="E36:L36"/>
    <mergeCell ref="O36:S36"/>
    <mergeCell ref="E23:F23"/>
    <mergeCell ref="G23:H23"/>
    <mergeCell ref="J23:K23"/>
    <mergeCell ref="E22:F22"/>
    <mergeCell ref="G22:H22"/>
    <mergeCell ref="I22:M22"/>
    <mergeCell ref="R22:T22"/>
    <mergeCell ref="E13:J13"/>
    <mergeCell ref="N13:S13"/>
    <mergeCell ref="E14:H14"/>
    <mergeCell ref="I14:J14"/>
    <mergeCell ref="K14:M14"/>
    <mergeCell ref="N14:U14"/>
    <mergeCell ref="E12:L12"/>
    <mergeCell ref="Q12:U12"/>
    <mergeCell ref="L3:T4"/>
    <mergeCell ref="E10:F10"/>
    <mergeCell ref="L10:M10"/>
    <mergeCell ref="R10:S10"/>
    <mergeCell ref="T10:U10"/>
  </mergeCells>
  <conditionalFormatting sqref="N14:U14">
    <cfRule type="cellIs" dxfId="4" priority="2" stopIfTrue="1" operator="equal">
      <formula>"FALTA NOMBRE DEL REP. LEGAL O NO ES PERSONA FÍSICA"</formula>
    </cfRule>
  </conditionalFormatting>
  <conditionalFormatting sqref="M69:U69 L76:Q77 J74 K74:K77 L74:P74 J76 Q73:Q74 I74:I77">
    <cfRule type="cellIs" dxfId="3" priority="1" stopIfTrue="1" operator="equal">
      <formula>"EXISTE UN DATO MAL CAPTURADO, FAVOR DE VERIFICAR"</formula>
    </cfRule>
  </conditionalFormatting>
  <dataValidations count="8">
    <dataValidation type="list" allowBlank="1" showInputMessage="1" showErrorMessage="1" sqref="R23:T23">
      <formula1>$Z$16:$Z$17</formula1>
    </dataValidation>
    <dataValidation type="list" allowBlank="1" showInputMessage="1" showErrorMessage="1" sqref="K69:L69">
      <formula1>$AA$74:$AA$75</formula1>
    </dataValidation>
    <dataValidation type="list" allowBlank="1" showInputMessage="1" showErrorMessage="1" sqref="L10">
      <formula1>$AA$12:$AA$13</formula1>
    </dataValidation>
    <dataValidation type="list" allowBlank="1" showInputMessage="1" showErrorMessage="1" sqref="K65">
      <formula1>$AC$19:$AC$20</formula1>
    </dataValidation>
    <dataValidation type="list" allowBlank="1" showInputMessage="1" showErrorMessage="1" sqref="E43">
      <formula1>$AC$7:$AC$10</formula1>
    </dataValidation>
    <dataValidation type="list" allowBlank="1" showInputMessage="1" showErrorMessage="1" sqref="D75:D76">
      <formula1>$Y$74:$Y$75</formula1>
    </dataValidation>
    <dataValidation type="list" allowBlank="1" showInputMessage="1" showErrorMessage="1" sqref="P67:Q67">
      <formula1>$AD$65:$AD$67</formula1>
    </dataValidation>
  </dataValidations>
  <printOptions horizontalCentered="1"/>
  <pageMargins left="0.19685039370078741" right="0.19685039370078741" top="0.39370078740157483" bottom="0.39370078740157483" header="0.31496062992125984" footer="0.31496062992125984"/>
  <pageSetup scale="75" orientation="portrait" verticalDpi="0" r:id="rId1"/>
  <drawing r:id="rId2"/>
  <legacyDrawing r:id="rId3"/>
</worksheet>
</file>

<file path=xl/worksheets/sheet20.xml><?xml version="1.0" encoding="utf-8"?>
<worksheet xmlns="http://schemas.openxmlformats.org/spreadsheetml/2006/main" xmlns:r="http://schemas.openxmlformats.org/officeDocument/2006/relationships">
  <sheetPr codeName="Hoja19">
    <pageSetUpPr fitToPage="1"/>
  </sheetPr>
  <dimension ref="A1:M127"/>
  <sheetViews>
    <sheetView topLeftCell="K4" workbookViewId="0">
      <selection activeCell="J4" sqref="A1:J65536"/>
    </sheetView>
  </sheetViews>
  <sheetFormatPr baseColWidth="10" defaultColWidth="9.33203125" defaultRowHeight="13.5"/>
  <cols>
    <col min="1" max="1" width="12.6640625" style="285" hidden="1" customWidth="1"/>
    <col min="2" max="2" width="26.6640625" style="285" hidden="1" customWidth="1"/>
    <col min="3" max="3" width="1.33203125" style="287" hidden="1" customWidth="1"/>
    <col min="4" max="4" width="8.83203125" style="286" hidden="1" customWidth="1"/>
    <col min="5" max="5" width="19.6640625" style="286" hidden="1" customWidth="1"/>
    <col min="6" max="6" width="12" style="285" hidden="1" customWidth="1"/>
    <col min="7" max="7" width="19.83203125" style="285" hidden="1" customWidth="1"/>
    <col min="8" max="8" width="27.1640625" style="285" hidden="1" customWidth="1"/>
    <col min="9" max="9" width="10.1640625" style="285" hidden="1" customWidth="1"/>
    <col min="10" max="10" width="15.33203125" style="285" hidden="1" customWidth="1"/>
    <col min="11" max="16384" width="9.33203125" style="285"/>
  </cols>
  <sheetData>
    <row r="1" spans="1:13">
      <c r="A1" s="305"/>
      <c r="D1" s="304"/>
      <c r="E1" s="304"/>
    </row>
    <row r="2" spans="1:13" s="288" customFormat="1" ht="22.5" customHeight="1">
      <c r="A2" s="303"/>
      <c r="B2" s="303"/>
      <c r="C2" s="287"/>
      <c r="D2" s="303"/>
      <c r="E2" s="303"/>
    </row>
    <row r="3" spans="1:13" s="288" customFormat="1">
      <c r="C3" s="287"/>
      <c r="D3" s="300"/>
      <c r="E3" s="300"/>
    </row>
    <row r="4" spans="1:13" s="288" customFormat="1" ht="27">
      <c r="A4" s="302" t="s">
        <v>189</v>
      </c>
      <c r="B4" s="288" t="s">
        <v>188</v>
      </c>
      <c r="C4" s="287"/>
      <c r="D4" s="1003" t="s">
        <v>90</v>
      </c>
      <c r="E4" s="1003"/>
    </row>
    <row r="5" spans="1:13" s="288" customFormat="1">
      <c r="C5" s="287"/>
      <c r="D5" s="301" t="s">
        <v>85</v>
      </c>
      <c r="E5" s="301" t="s">
        <v>84</v>
      </c>
    </row>
    <row r="6" spans="1:13" s="288" customFormat="1">
      <c r="C6" s="287"/>
      <c r="D6" s="300"/>
      <c r="E6" s="300"/>
    </row>
    <row r="7" spans="1:13" s="288" customFormat="1">
      <c r="A7" s="288" t="s">
        <v>187</v>
      </c>
      <c r="B7" s="297" t="s">
        <v>13</v>
      </c>
      <c r="C7" s="287"/>
      <c r="D7" s="296">
        <v>4.4375999999999998</v>
      </c>
      <c r="E7" s="298">
        <v>1176.76</v>
      </c>
      <c r="F7" s="293"/>
      <c r="G7" s="297"/>
      <c r="H7" s="299"/>
      <c r="I7" s="396"/>
      <c r="J7" s="395"/>
      <c r="M7" s="294"/>
    </row>
    <row r="8" spans="1:13" s="288" customFormat="1">
      <c r="A8" s="288" t="s">
        <v>186</v>
      </c>
      <c r="B8" s="297" t="s">
        <v>129</v>
      </c>
      <c r="C8" s="287"/>
      <c r="D8" s="296">
        <v>3.9514</v>
      </c>
      <c r="E8" s="298">
        <v>1176.76</v>
      </c>
      <c r="F8" s="293"/>
      <c r="G8" s="297"/>
      <c r="H8" s="299"/>
      <c r="I8" s="396"/>
      <c r="J8" s="395"/>
      <c r="K8" s="294"/>
    </row>
    <row r="9" spans="1:13" s="288" customFormat="1">
      <c r="A9" s="288" t="s">
        <v>187</v>
      </c>
      <c r="B9" s="297" t="s">
        <v>20</v>
      </c>
      <c r="C9" s="287"/>
      <c r="D9" s="296">
        <v>4.5452000000000004</v>
      </c>
      <c r="E9" s="298">
        <v>1176.76</v>
      </c>
      <c r="F9" s="293"/>
      <c r="G9" s="297"/>
      <c r="H9" s="299"/>
      <c r="I9" s="396"/>
      <c r="J9" s="395"/>
      <c r="K9" s="294"/>
    </row>
    <row r="10" spans="1:13" s="288" customFormat="1">
      <c r="A10" s="288" t="s">
        <v>184</v>
      </c>
      <c r="B10" s="297" t="s">
        <v>15</v>
      </c>
      <c r="C10" s="287"/>
      <c r="D10" s="296">
        <v>3.4439000000000002</v>
      </c>
      <c r="E10" s="298">
        <v>1176.76</v>
      </c>
      <c r="F10" s="293"/>
      <c r="G10" s="297"/>
      <c r="H10" s="299"/>
      <c r="I10" s="396"/>
      <c r="J10" s="395"/>
      <c r="K10" s="294"/>
    </row>
    <row r="11" spans="1:13" s="288" customFormat="1">
      <c r="A11" s="288" t="s">
        <v>183</v>
      </c>
      <c r="B11" s="297" t="s">
        <v>104</v>
      </c>
      <c r="C11" s="287"/>
      <c r="D11" s="296">
        <v>2.6191</v>
      </c>
      <c r="E11" s="298">
        <v>1176.76</v>
      </c>
      <c r="F11" s="293"/>
      <c r="G11" s="297"/>
      <c r="H11" s="299"/>
      <c r="I11" s="396"/>
      <c r="J11" s="395"/>
      <c r="K11" s="294"/>
    </row>
    <row r="12" spans="1:13" s="288" customFormat="1">
      <c r="A12" s="288" t="s">
        <v>182</v>
      </c>
      <c r="B12" s="297" t="s">
        <v>17</v>
      </c>
      <c r="C12" s="287"/>
      <c r="D12" s="296">
        <v>2.903</v>
      </c>
      <c r="E12" s="298">
        <v>1176.76</v>
      </c>
      <c r="F12" s="293"/>
      <c r="G12" s="297"/>
      <c r="H12" s="299"/>
      <c r="I12" s="396"/>
      <c r="J12" s="395"/>
      <c r="K12" s="294"/>
    </row>
    <row r="13" spans="1:13" s="288" customFormat="1">
      <c r="A13" s="347" t="s">
        <v>181</v>
      </c>
      <c r="B13" s="346" t="s">
        <v>155</v>
      </c>
      <c r="C13" s="345"/>
      <c r="D13" s="344">
        <v>6.6585000000000001</v>
      </c>
      <c r="E13" s="343">
        <v>1176.76</v>
      </c>
      <c r="F13" s="293"/>
      <c r="G13" s="297"/>
      <c r="H13" s="299"/>
      <c r="I13" s="396"/>
      <c r="J13" s="395"/>
      <c r="K13" s="342"/>
    </row>
    <row r="14" spans="1:13" s="288" customFormat="1">
      <c r="A14" s="288" t="s">
        <v>180</v>
      </c>
      <c r="B14" s="297" t="s">
        <v>1</v>
      </c>
      <c r="C14" s="287"/>
      <c r="D14" s="296">
        <v>2.8001999999999998</v>
      </c>
      <c r="E14" s="298">
        <v>1176.76</v>
      </c>
      <c r="F14" s="293"/>
      <c r="G14" s="297"/>
      <c r="H14" s="299"/>
      <c r="I14" s="396"/>
      <c r="J14" s="395"/>
      <c r="K14" s="294"/>
    </row>
    <row r="15" spans="1:13" s="288" customFormat="1">
      <c r="A15" s="288" t="s">
        <v>174</v>
      </c>
      <c r="B15" s="297" t="s">
        <v>11</v>
      </c>
      <c r="C15" s="287"/>
      <c r="D15" s="296">
        <v>2.7759999999999998</v>
      </c>
      <c r="E15" s="298">
        <v>1176.76</v>
      </c>
      <c r="F15" s="293"/>
      <c r="G15" s="297"/>
      <c r="H15" s="299"/>
      <c r="I15" s="396"/>
      <c r="J15" s="395"/>
      <c r="K15" s="294"/>
    </row>
    <row r="16" spans="1:13" s="288" customFormat="1">
      <c r="A16" s="347" t="s">
        <v>179</v>
      </c>
      <c r="B16" s="346" t="s">
        <v>152</v>
      </c>
      <c r="C16" s="345"/>
      <c r="D16" s="344">
        <v>3.5036</v>
      </c>
      <c r="E16" s="343">
        <v>1176.76</v>
      </c>
      <c r="F16" s="293"/>
      <c r="G16" s="297"/>
      <c r="H16" s="299"/>
      <c r="I16" s="396"/>
      <c r="J16" s="395"/>
      <c r="K16" s="294"/>
    </row>
    <row r="17" spans="1:11" s="288" customFormat="1">
      <c r="A17" s="288" t="s">
        <v>172</v>
      </c>
      <c r="B17" s="297" t="s">
        <v>7</v>
      </c>
      <c r="C17" s="287"/>
      <c r="D17" s="296">
        <v>5.5380000000000003</v>
      </c>
      <c r="E17" s="298">
        <v>1176.76</v>
      </c>
      <c r="F17" s="293"/>
      <c r="G17" s="297"/>
      <c r="H17" s="299"/>
      <c r="I17" s="396"/>
      <c r="J17" s="395"/>
      <c r="K17" s="294"/>
    </row>
    <row r="18" spans="1:11" s="288" customFormat="1">
      <c r="A18" s="347" t="s">
        <v>178</v>
      </c>
      <c r="B18" s="346" t="s">
        <v>154</v>
      </c>
      <c r="C18" s="345"/>
      <c r="D18" s="348">
        <v>5.4455</v>
      </c>
      <c r="E18" s="343">
        <v>1176.76</v>
      </c>
      <c r="F18" s="293"/>
      <c r="G18" s="297"/>
      <c r="H18" s="299"/>
      <c r="I18" s="396"/>
      <c r="J18" s="395"/>
      <c r="K18" s="294"/>
    </row>
    <row r="19" spans="1:11" s="288" customFormat="1">
      <c r="A19" s="347" t="s">
        <v>177</v>
      </c>
      <c r="B19" s="346" t="s">
        <v>151</v>
      </c>
      <c r="C19" s="345"/>
      <c r="D19" s="344">
        <v>5.8780999999999999</v>
      </c>
      <c r="E19" s="343">
        <v>1176.76</v>
      </c>
      <c r="F19" s="293"/>
      <c r="G19" s="297"/>
      <c r="H19" s="299"/>
      <c r="I19" s="396"/>
      <c r="J19" s="395"/>
      <c r="K19" s="342"/>
    </row>
    <row r="20" spans="1:11" s="288" customFormat="1">
      <c r="A20" s="288" t="s">
        <v>176</v>
      </c>
      <c r="B20" s="297" t="s">
        <v>42</v>
      </c>
      <c r="C20" s="287"/>
      <c r="D20" s="296">
        <v>5.2249999999999996</v>
      </c>
      <c r="E20" s="295">
        <v>2036.97</v>
      </c>
      <c r="F20" s="293"/>
      <c r="G20" s="297"/>
      <c r="H20" s="299"/>
      <c r="I20" s="396"/>
      <c r="J20" s="395"/>
      <c r="K20" s="294"/>
    </row>
    <row r="21" spans="1:11" s="288" customFormat="1">
      <c r="A21" s="288" t="s">
        <v>175</v>
      </c>
      <c r="B21" s="297" t="s">
        <v>105</v>
      </c>
      <c r="C21" s="287"/>
      <c r="D21" s="296">
        <v>3.1850000000000001</v>
      </c>
      <c r="E21" s="298">
        <v>1176.76</v>
      </c>
      <c r="F21" s="293"/>
      <c r="G21" s="297"/>
      <c r="H21" s="299"/>
      <c r="I21" s="396"/>
      <c r="J21" s="395"/>
      <c r="K21" s="294"/>
    </row>
    <row r="22" spans="1:11" s="288" customFormat="1">
      <c r="B22" s="297"/>
      <c r="C22" s="287"/>
      <c r="D22" s="296"/>
      <c r="E22" s="295"/>
      <c r="F22" s="293"/>
      <c r="G22" s="297"/>
      <c r="H22" s="299"/>
      <c r="I22" s="396"/>
      <c r="J22" s="395"/>
      <c r="K22" s="342"/>
    </row>
    <row r="23" spans="1:11" s="288" customFormat="1">
      <c r="A23" s="288" t="s">
        <v>174</v>
      </c>
      <c r="B23" s="297" t="s">
        <v>44</v>
      </c>
      <c r="C23" s="287"/>
      <c r="D23" s="296">
        <v>5.0339999999999998</v>
      </c>
      <c r="E23" s="295">
        <v>2036.97</v>
      </c>
      <c r="F23" s="293"/>
      <c r="G23" s="297"/>
      <c r="H23" s="299"/>
      <c r="I23" s="396"/>
      <c r="J23" s="395"/>
      <c r="K23" s="294"/>
    </row>
    <row r="24" spans="1:11" s="288" customFormat="1">
      <c r="B24" s="297"/>
      <c r="C24" s="287"/>
      <c r="D24" s="296"/>
      <c r="E24" s="295"/>
      <c r="F24" s="293"/>
    </row>
    <row r="25" spans="1:11" s="288" customFormat="1">
      <c r="A25" s="288" t="s">
        <v>173</v>
      </c>
      <c r="B25" s="297" t="s">
        <v>150</v>
      </c>
      <c r="C25" s="287"/>
      <c r="D25" s="296">
        <v>6.1231999999999998</v>
      </c>
      <c r="E25" s="295">
        <v>2036.97</v>
      </c>
      <c r="F25" s="293"/>
      <c r="G25" s="297"/>
      <c r="H25" s="299"/>
      <c r="I25" s="393"/>
      <c r="J25" s="392"/>
    </row>
    <row r="26" spans="1:11" s="288" customFormat="1">
      <c r="A26" s="288" t="s">
        <v>172</v>
      </c>
      <c r="B26" s="297" t="s">
        <v>50</v>
      </c>
      <c r="C26" s="287"/>
      <c r="D26" s="296">
        <v>5.2065000000000001</v>
      </c>
      <c r="E26" s="295">
        <v>2036.97</v>
      </c>
      <c r="F26" s="293"/>
      <c r="G26" s="297"/>
      <c r="H26" s="299"/>
      <c r="I26" s="393"/>
      <c r="J26" s="392"/>
    </row>
    <row r="27" spans="1:11" s="288" customFormat="1">
      <c r="A27" s="288" t="s">
        <v>171</v>
      </c>
      <c r="B27" s="288" t="s">
        <v>46</v>
      </c>
      <c r="D27" s="296">
        <v>5.3775000000000004</v>
      </c>
      <c r="E27" s="295">
        <v>2036.97</v>
      </c>
      <c r="F27" s="293"/>
      <c r="I27" s="393"/>
      <c r="J27" s="392"/>
    </row>
    <row r="28" spans="1:11" s="288" customFormat="1">
      <c r="A28" s="288" t="s">
        <v>170</v>
      </c>
      <c r="B28" s="297" t="s">
        <v>52</v>
      </c>
      <c r="C28" s="287"/>
      <c r="D28" s="296">
        <v>5.5368000000000004</v>
      </c>
      <c r="E28" s="295">
        <v>2036.78</v>
      </c>
      <c r="F28" s="293"/>
      <c r="G28" s="297"/>
      <c r="H28" s="299"/>
      <c r="I28" s="393"/>
      <c r="J28" s="392"/>
    </row>
    <row r="29" spans="1:11" s="288" customFormat="1">
      <c r="A29" s="288" t="s">
        <v>191</v>
      </c>
      <c r="B29" s="297" t="s">
        <v>149</v>
      </c>
      <c r="C29" s="287"/>
      <c r="D29" s="296">
        <v>4.4687000000000001</v>
      </c>
      <c r="E29" s="295">
        <v>4119.08</v>
      </c>
      <c r="F29" s="293"/>
      <c r="G29" s="297"/>
      <c r="H29" s="299"/>
      <c r="I29" s="393"/>
      <c r="J29" s="392"/>
    </row>
    <row r="30" spans="1:11" s="288" customFormat="1">
      <c r="A30" s="288" t="s">
        <v>171</v>
      </c>
      <c r="B30" s="297" t="s">
        <v>141</v>
      </c>
      <c r="C30" s="287"/>
      <c r="D30" s="296">
        <v>4.0838000000000001</v>
      </c>
      <c r="E30" s="295">
        <v>4119.08</v>
      </c>
      <c r="F30" s="293"/>
      <c r="G30" s="297"/>
      <c r="H30" s="299"/>
      <c r="I30" s="393"/>
      <c r="J30" s="392"/>
    </row>
    <row r="31" spans="1:11" s="288" customFormat="1">
      <c r="A31" s="288" t="s">
        <v>169</v>
      </c>
      <c r="B31" s="297" t="s">
        <v>112</v>
      </c>
      <c r="C31" s="287"/>
      <c r="D31" s="296">
        <v>5.7851999999999997</v>
      </c>
      <c r="E31" s="298">
        <v>1176.76</v>
      </c>
      <c r="F31" s="293"/>
      <c r="G31" s="297"/>
      <c r="H31" s="299"/>
      <c r="I31" s="393"/>
      <c r="J31" s="392"/>
    </row>
    <row r="32" spans="1:11" s="288" customFormat="1">
      <c r="A32" s="288" t="s">
        <v>168</v>
      </c>
      <c r="B32" s="297" t="s">
        <v>111</v>
      </c>
      <c r="C32" s="287"/>
      <c r="D32" s="296">
        <v>5.8160999999999996</v>
      </c>
      <c r="E32" s="295">
        <v>2036.97</v>
      </c>
      <c r="F32" s="293"/>
      <c r="G32" s="297"/>
      <c r="H32" s="299"/>
      <c r="I32" s="393"/>
      <c r="J32" s="392"/>
    </row>
    <row r="33" spans="1:10" s="288" customFormat="1">
      <c r="A33" s="288" t="s">
        <v>167</v>
      </c>
      <c r="B33" s="288" t="s">
        <v>55</v>
      </c>
      <c r="C33" s="287"/>
      <c r="D33" s="289">
        <v>5.3773</v>
      </c>
      <c r="E33" s="341">
        <v>2036.97</v>
      </c>
      <c r="F33" s="293"/>
      <c r="G33" s="297"/>
      <c r="H33" s="299"/>
      <c r="I33" s="393"/>
      <c r="J33" s="392"/>
    </row>
    <row r="34" spans="1:10" s="288" customFormat="1">
      <c r="A34" s="288" t="s">
        <v>166</v>
      </c>
      <c r="B34" s="288" t="s">
        <v>107</v>
      </c>
      <c r="C34" s="287"/>
      <c r="D34" s="289">
        <v>13.2662</v>
      </c>
      <c r="E34" s="295">
        <v>2036.97</v>
      </c>
      <c r="F34" s="293"/>
      <c r="H34" s="299"/>
      <c r="I34" s="393"/>
      <c r="J34" s="392"/>
    </row>
    <row r="35" spans="1:10" s="288" customFormat="1">
      <c r="C35" s="287"/>
      <c r="D35" s="289"/>
      <c r="E35" s="289"/>
    </row>
    <row r="36" spans="1:10" s="288" customFormat="1">
      <c r="C36" s="287"/>
      <c r="D36" s="289"/>
      <c r="E36" s="289"/>
    </row>
    <row r="37" spans="1:10" s="288" customFormat="1">
      <c r="C37" s="287"/>
      <c r="D37" s="289"/>
      <c r="E37" s="289"/>
    </row>
    <row r="38" spans="1:10" s="288" customFormat="1">
      <c r="C38" s="287"/>
      <c r="D38" s="289"/>
      <c r="E38" s="289"/>
    </row>
    <row r="39" spans="1:10" s="288" customFormat="1">
      <c r="C39" s="287"/>
      <c r="D39" s="289"/>
      <c r="E39" s="289"/>
    </row>
    <row r="40" spans="1:10" s="288" customFormat="1">
      <c r="C40" s="287"/>
      <c r="D40" s="289"/>
      <c r="E40" s="289"/>
    </row>
    <row r="41" spans="1:10" s="288" customFormat="1">
      <c r="C41" s="287"/>
      <c r="D41" s="289"/>
      <c r="E41" s="289"/>
    </row>
    <row r="42" spans="1:10" s="288" customFormat="1">
      <c r="C42" s="287"/>
      <c r="D42" s="289"/>
      <c r="E42" s="289"/>
    </row>
    <row r="43" spans="1:10" s="288" customFormat="1">
      <c r="C43" s="287"/>
      <c r="D43" s="289"/>
      <c r="E43" s="289"/>
    </row>
    <row r="44" spans="1:10" s="288" customFormat="1">
      <c r="C44" s="287"/>
      <c r="D44" s="289"/>
      <c r="E44" s="289"/>
    </row>
    <row r="45" spans="1:10" s="288" customFormat="1">
      <c r="C45" s="287"/>
      <c r="D45" s="289"/>
      <c r="E45" s="289"/>
    </row>
    <row r="46" spans="1:10" s="288" customFormat="1">
      <c r="C46" s="287"/>
      <c r="D46" s="289"/>
      <c r="E46" s="289"/>
    </row>
    <row r="47" spans="1:10" s="288" customFormat="1">
      <c r="C47" s="287"/>
      <c r="D47" s="289"/>
      <c r="E47" s="289"/>
    </row>
    <row r="48" spans="1:10" s="288" customFormat="1">
      <c r="C48" s="287"/>
      <c r="D48" s="289"/>
      <c r="E48" s="289"/>
    </row>
    <row r="49" spans="3:10" s="288" customFormat="1">
      <c r="C49" s="287"/>
      <c r="D49" s="289"/>
      <c r="E49" s="289"/>
    </row>
    <row r="50" spans="3:10" s="288" customFormat="1">
      <c r="C50" s="287"/>
      <c r="D50" s="289"/>
      <c r="E50" s="289"/>
    </row>
    <row r="51" spans="3:10" s="288" customFormat="1">
      <c r="C51" s="287"/>
      <c r="D51" s="289"/>
      <c r="E51" s="289"/>
    </row>
    <row r="52" spans="3:10" s="288" customFormat="1">
      <c r="C52" s="287"/>
      <c r="D52" s="289"/>
      <c r="E52" s="289"/>
    </row>
    <row r="53" spans="3:10" s="288" customFormat="1">
      <c r="C53" s="287"/>
      <c r="D53" s="289"/>
      <c r="E53" s="289"/>
    </row>
    <row r="54" spans="3:10" s="288" customFormat="1">
      <c r="C54" s="287"/>
      <c r="D54" s="289"/>
      <c r="E54" s="289"/>
    </row>
    <row r="55" spans="3:10" s="288" customFormat="1">
      <c r="C55" s="287"/>
      <c r="D55" s="289"/>
      <c r="E55" s="289"/>
    </row>
    <row r="56" spans="3:10" s="288" customFormat="1">
      <c r="C56" s="287"/>
      <c r="D56" s="289"/>
      <c r="E56" s="289"/>
    </row>
    <row r="57" spans="3:10" s="288" customFormat="1">
      <c r="C57" s="287"/>
      <c r="D57" s="289"/>
      <c r="E57" s="289"/>
    </row>
    <row r="58" spans="3:10" s="288" customFormat="1">
      <c r="C58" s="287"/>
      <c r="D58" s="289"/>
      <c r="E58" s="289"/>
    </row>
    <row r="59" spans="3:10" s="288" customFormat="1">
      <c r="C59" s="287"/>
      <c r="D59" s="289"/>
      <c r="E59" s="289"/>
    </row>
    <row r="60" spans="3:10" s="288" customFormat="1">
      <c r="C60" s="287"/>
      <c r="D60" s="289"/>
      <c r="E60" s="289"/>
    </row>
    <row r="61" spans="3:10" s="288" customFormat="1">
      <c r="C61" s="287"/>
      <c r="D61" s="289"/>
      <c r="E61" s="289"/>
    </row>
    <row r="62" spans="3:10" s="288" customFormat="1">
      <c r="C62" s="287"/>
      <c r="D62" s="289"/>
      <c r="E62" s="289"/>
    </row>
    <row r="63" spans="3:10" s="288" customFormat="1">
      <c r="C63" s="287"/>
      <c r="D63" s="289"/>
      <c r="E63" s="289"/>
      <c r="H63" s="291"/>
      <c r="J63" s="290"/>
    </row>
    <row r="64" spans="3:10" s="288" customFormat="1">
      <c r="C64" s="287"/>
      <c r="D64" s="289"/>
      <c r="E64" s="289"/>
    </row>
    <row r="65" spans="3:5" s="288" customFormat="1">
      <c r="C65" s="287"/>
      <c r="D65" s="289"/>
      <c r="E65" s="289"/>
    </row>
    <row r="66" spans="3:5" s="288" customFormat="1">
      <c r="C66" s="287"/>
      <c r="D66" s="289"/>
      <c r="E66" s="289"/>
    </row>
    <row r="67" spans="3:5" s="288" customFormat="1">
      <c r="C67" s="287"/>
      <c r="D67" s="289"/>
      <c r="E67" s="289"/>
    </row>
    <row r="68" spans="3:5" s="288" customFormat="1">
      <c r="C68" s="287"/>
      <c r="D68" s="289"/>
      <c r="E68" s="289"/>
    </row>
    <row r="69" spans="3:5" s="288" customFormat="1">
      <c r="C69" s="287"/>
      <c r="D69" s="289"/>
      <c r="E69" s="289"/>
    </row>
    <row r="70" spans="3:5" s="288" customFormat="1">
      <c r="C70" s="287"/>
      <c r="D70" s="289"/>
      <c r="E70" s="289"/>
    </row>
    <row r="71" spans="3:5" s="288" customFormat="1">
      <c r="C71" s="287"/>
      <c r="D71" s="289"/>
      <c r="E71" s="289"/>
    </row>
    <row r="72" spans="3:5" s="288" customFormat="1">
      <c r="C72" s="287"/>
      <c r="D72" s="289"/>
      <c r="E72" s="289"/>
    </row>
    <row r="73" spans="3:5" s="288" customFormat="1">
      <c r="C73" s="287"/>
      <c r="D73" s="289"/>
      <c r="E73" s="289"/>
    </row>
    <row r="74" spans="3:5" s="288" customFormat="1">
      <c r="C74" s="287"/>
      <c r="D74" s="289"/>
      <c r="E74" s="289"/>
    </row>
    <row r="75" spans="3:5" s="288" customFormat="1">
      <c r="C75" s="287"/>
      <c r="D75" s="289"/>
      <c r="E75" s="289"/>
    </row>
    <row r="76" spans="3:5" s="288" customFormat="1">
      <c r="C76" s="287"/>
      <c r="D76" s="289"/>
      <c r="E76" s="289"/>
    </row>
    <row r="77" spans="3:5" s="288" customFormat="1">
      <c r="C77" s="287"/>
      <c r="D77" s="289"/>
      <c r="E77" s="289"/>
    </row>
    <row r="78" spans="3:5" s="288" customFormat="1">
      <c r="C78" s="287"/>
      <c r="D78" s="289"/>
      <c r="E78" s="289"/>
    </row>
    <row r="79" spans="3:5" s="288" customFormat="1">
      <c r="C79" s="287"/>
      <c r="D79" s="289"/>
      <c r="E79" s="289"/>
    </row>
    <row r="80" spans="3:5" s="288" customFormat="1">
      <c r="C80" s="287"/>
      <c r="D80" s="289"/>
      <c r="E80" s="289"/>
    </row>
    <row r="81" spans="3:5" s="288" customFormat="1">
      <c r="C81" s="287"/>
      <c r="D81" s="289"/>
      <c r="E81" s="289"/>
    </row>
    <row r="82" spans="3:5" s="288" customFormat="1">
      <c r="C82" s="287"/>
      <c r="D82" s="289"/>
      <c r="E82" s="289"/>
    </row>
    <row r="83" spans="3:5" s="288" customFormat="1">
      <c r="C83" s="287"/>
      <c r="D83" s="289"/>
      <c r="E83" s="289"/>
    </row>
    <row r="84" spans="3:5" s="288" customFormat="1">
      <c r="C84" s="287"/>
      <c r="D84" s="289"/>
      <c r="E84" s="289"/>
    </row>
    <row r="85" spans="3:5" s="288" customFormat="1">
      <c r="C85" s="287"/>
      <c r="D85" s="289"/>
      <c r="E85" s="289"/>
    </row>
    <row r="86" spans="3:5" s="288" customFormat="1">
      <c r="C86" s="287"/>
      <c r="D86" s="289"/>
      <c r="E86" s="289"/>
    </row>
    <row r="87" spans="3:5" s="288" customFormat="1">
      <c r="C87" s="287"/>
      <c r="D87" s="289"/>
      <c r="E87" s="289"/>
    </row>
    <row r="88" spans="3:5" s="288" customFormat="1">
      <c r="C88" s="287"/>
      <c r="D88" s="289"/>
      <c r="E88" s="289"/>
    </row>
    <row r="89" spans="3:5" s="288" customFormat="1">
      <c r="C89" s="287"/>
      <c r="D89" s="289"/>
      <c r="E89" s="289"/>
    </row>
    <row r="90" spans="3:5" s="288" customFormat="1">
      <c r="C90" s="287"/>
      <c r="D90" s="289"/>
      <c r="E90" s="289"/>
    </row>
    <row r="91" spans="3:5" s="288" customFormat="1">
      <c r="C91" s="287"/>
      <c r="D91" s="289"/>
      <c r="E91" s="289"/>
    </row>
    <row r="92" spans="3:5" s="288" customFormat="1">
      <c r="C92" s="287"/>
      <c r="D92" s="289"/>
      <c r="E92" s="289"/>
    </row>
    <row r="93" spans="3:5" s="288" customFormat="1">
      <c r="C93" s="287"/>
      <c r="D93" s="289"/>
      <c r="E93" s="289"/>
    </row>
    <row r="94" spans="3:5" s="288" customFormat="1">
      <c r="C94" s="287"/>
      <c r="D94" s="289"/>
      <c r="E94" s="289"/>
    </row>
    <row r="95" spans="3:5" s="288" customFormat="1">
      <c r="C95" s="287"/>
      <c r="D95" s="289"/>
      <c r="E95" s="289"/>
    </row>
    <row r="96" spans="3:5" s="288" customFormat="1">
      <c r="C96" s="287"/>
      <c r="D96" s="289"/>
      <c r="E96" s="289"/>
    </row>
    <row r="97" spans="3:5" s="288" customFormat="1">
      <c r="C97" s="287"/>
      <c r="D97" s="289"/>
      <c r="E97" s="289"/>
    </row>
    <row r="98" spans="3:5" s="288" customFormat="1">
      <c r="C98" s="287"/>
      <c r="D98" s="289"/>
      <c r="E98" s="289"/>
    </row>
    <row r="99" spans="3:5" s="288" customFormat="1">
      <c r="C99" s="287"/>
      <c r="D99" s="289"/>
      <c r="E99" s="289"/>
    </row>
    <row r="100" spans="3:5" s="288" customFormat="1">
      <c r="C100" s="287"/>
      <c r="D100" s="289"/>
      <c r="E100" s="289"/>
    </row>
    <row r="101" spans="3:5" s="288" customFormat="1">
      <c r="C101" s="287"/>
      <c r="D101" s="289"/>
      <c r="E101" s="289"/>
    </row>
    <row r="102" spans="3:5" s="288" customFormat="1">
      <c r="C102" s="287"/>
      <c r="D102" s="289"/>
      <c r="E102" s="289"/>
    </row>
    <row r="103" spans="3:5" s="288" customFormat="1">
      <c r="C103" s="287"/>
      <c r="D103" s="289"/>
      <c r="E103" s="289"/>
    </row>
    <row r="104" spans="3:5" s="288" customFormat="1">
      <c r="C104" s="287"/>
      <c r="D104" s="289"/>
      <c r="E104" s="289"/>
    </row>
    <row r="105" spans="3:5" s="288" customFormat="1">
      <c r="C105" s="287"/>
      <c r="D105" s="289"/>
      <c r="E105" s="289"/>
    </row>
    <row r="106" spans="3:5" s="288" customFormat="1">
      <c r="C106" s="287"/>
      <c r="D106" s="289"/>
      <c r="E106" s="289"/>
    </row>
    <row r="107" spans="3:5" s="288" customFormat="1">
      <c r="C107" s="287"/>
      <c r="D107" s="289"/>
      <c r="E107" s="289"/>
    </row>
    <row r="108" spans="3:5" s="288" customFormat="1">
      <c r="C108" s="287"/>
      <c r="D108" s="289"/>
      <c r="E108" s="289"/>
    </row>
    <row r="109" spans="3:5" s="288" customFormat="1">
      <c r="C109" s="287"/>
      <c r="D109" s="289"/>
      <c r="E109" s="289"/>
    </row>
    <row r="110" spans="3:5" s="288" customFormat="1">
      <c r="C110" s="287"/>
      <c r="D110" s="289"/>
      <c r="E110" s="289"/>
    </row>
    <row r="111" spans="3:5" s="288" customFormat="1">
      <c r="C111" s="287"/>
      <c r="D111" s="289"/>
      <c r="E111" s="289"/>
    </row>
    <row r="112" spans="3:5" s="288" customFormat="1">
      <c r="C112" s="287"/>
      <c r="D112" s="289"/>
      <c r="E112" s="289"/>
    </row>
    <row r="113" spans="3:5" s="288" customFormat="1">
      <c r="C113" s="287"/>
      <c r="D113" s="289"/>
      <c r="E113" s="289"/>
    </row>
    <row r="114" spans="3:5" s="288" customFormat="1">
      <c r="C114" s="287"/>
      <c r="D114" s="289"/>
      <c r="E114" s="289"/>
    </row>
    <row r="115" spans="3:5" s="288" customFormat="1">
      <c r="C115" s="287"/>
      <c r="D115" s="289"/>
      <c r="E115" s="289"/>
    </row>
    <row r="116" spans="3:5" s="288" customFormat="1">
      <c r="C116" s="287"/>
      <c r="D116" s="289"/>
      <c r="E116" s="289"/>
    </row>
    <row r="117" spans="3:5" s="288" customFormat="1">
      <c r="C117" s="287"/>
      <c r="D117" s="289"/>
      <c r="E117" s="289"/>
    </row>
    <row r="118" spans="3:5" s="288" customFormat="1">
      <c r="C118" s="287"/>
      <c r="D118" s="289"/>
      <c r="E118" s="289"/>
    </row>
    <row r="119" spans="3:5" s="288" customFormat="1">
      <c r="C119" s="287"/>
      <c r="D119" s="289"/>
      <c r="E119" s="289"/>
    </row>
    <row r="120" spans="3:5" s="288" customFormat="1">
      <c r="C120" s="287"/>
      <c r="D120" s="289"/>
      <c r="E120" s="289"/>
    </row>
    <row r="121" spans="3:5" s="288" customFormat="1">
      <c r="C121" s="287"/>
      <c r="D121" s="289"/>
      <c r="E121" s="289"/>
    </row>
    <row r="122" spans="3:5" s="288" customFormat="1">
      <c r="C122" s="287"/>
      <c r="D122" s="289"/>
      <c r="E122" s="289"/>
    </row>
    <row r="123" spans="3:5" s="288" customFormat="1">
      <c r="C123" s="287"/>
      <c r="D123" s="289"/>
      <c r="E123" s="289"/>
    </row>
    <row r="124" spans="3:5" s="288" customFormat="1">
      <c r="C124" s="287"/>
      <c r="D124" s="289"/>
      <c r="E124" s="289"/>
    </row>
    <row r="125" spans="3:5" s="288" customFormat="1">
      <c r="C125" s="287"/>
      <c r="D125" s="289"/>
      <c r="E125" s="289"/>
    </row>
    <row r="126" spans="3:5" s="288" customFormat="1">
      <c r="C126" s="287"/>
      <c r="D126" s="289"/>
      <c r="E126" s="289"/>
    </row>
    <row r="127" spans="3:5" s="288" customFormat="1">
      <c r="C127" s="287"/>
      <c r="D127" s="289"/>
      <c r="E127" s="289"/>
    </row>
  </sheetData>
  <sheetProtection password="F4F5" sheet="1" objects="1" scenarios="1" selectLockedCells="1" selectUnlockedCells="1"/>
  <mergeCells count="1">
    <mergeCell ref="D4:E4"/>
  </mergeCells>
  <printOptions horizontalCentered="1" verticalCentered="1"/>
  <pageMargins left="0.75" right="0.75" top="1" bottom="1" header="0" footer="0"/>
  <pageSetup orientation="landscape" r:id="rId1"/>
  <headerFooter alignWithMargins="0"/>
</worksheet>
</file>

<file path=xl/worksheets/sheet21.xml><?xml version="1.0" encoding="utf-8"?>
<worksheet xmlns="http://schemas.openxmlformats.org/spreadsheetml/2006/main" xmlns:r="http://schemas.openxmlformats.org/officeDocument/2006/relationships">
  <sheetPr codeName="Hoja20">
    <pageSetUpPr fitToPage="1"/>
  </sheetPr>
  <dimension ref="A2:H70"/>
  <sheetViews>
    <sheetView topLeftCell="I11" workbookViewId="0">
      <selection activeCell="H11" sqref="A1:H65536"/>
    </sheetView>
  </sheetViews>
  <sheetFormatPr baseColWidth="10" defaultColWidth="9.33203125" defaultRowHeight="12.75"/>
  <cols>
    <col min="1" max="2" width="12" style="306" hidden="1" customWidth="1"/>
    <col min="3" max="3" width="7.6640625" style="306" hidden="1" customWidth="1"/>
    <col min="4" max="8" width="9.33203125" style="306" hidden="1" customWidth="1"/>
    <col min="9" max="16384" width="9.33203125" style="306"/>
  </cols>
  <sheetData>
    <row r="2" spans="1:6" ht="18">
      <c r="A2" s="321" t="s">
        <v>25</v>
      </c>
      <c r="B2" s="320"/>
      <c r="D2" s="316"/>
    </row>
    <row r="3" spans="1:6" ht="18">
      <c r="A3" s="321" t="s">
        <v>26</v>
      </c>
      <c r="B3" s="320"/>
      <c r="D3" s="316"/>
    </row>
    <row r="4" spans="1:6" ht="13.5" thickBot="1">
      <c r="A4" s="319"/>
      <c r="B4" s="318"/>
      <c r="C4" s="317"/>
      <c r="D4" s="317"/>
    </row>
    <row r="5" spans="1:6" ht="13.5" thickTop="1">
      <c r="A5" s="316"/>
      <c r="B5" s="316"/>
      <c r="C5" s="316"/>
    </row>
    <row r="8" spans="1:6">
      <c r="A8" s="315" t="s">
        <v>27</v>
      </c>
      <c r="B8" s="315" t="s">
        <v>28</v>
      </c>
    </row>
    <row r="9" spans="1:6">
      <c r="A9" s="314" t="s">
        <v>29</v>
      </c>
      <c r="B9" s="314" t="s">
        <v>27</v>
      </c>
    </row>
    <row r="10" spans="1:6">
      <c r="A10" s="313"/>
      <c r="B10" s="313"/>
    </row>
    <row r="11" spans="1:6">
      <c r="A11" s="312">
        <v>1</v>
      </c>
      <c r="B11" s="310">
        <v>8.3299999999999999E-2</v>
      </c>
      <c r="C11" s="309"/>
      <c r="E11" s="308"/>
      <c r="F11" s="307"/>
    </row>
    <row r="12" spans="1:6">
      <c r="A12" s="312">
        <v>2</v>
      </c>
      <c r="B12" s="310">
        <v>0.16669999999999999</v>
      </c>
      <c r="C12" s="309"/>
      <c r="E12" s="308"/>
      <c r="F12" s="307"/>
    </row>
    <row r="13" spans="1:6">
      <c r="A13" s="312">
        <v>3</v>
      </c>
      <c r="B13" s="310">
        <v>0.25</v>
      </c>
      <c r="C13" s="309"/>
      <c r="E13" s="308"/>
      <c r="F13" s="307"/>
    </row>
    <row r="14" spans="1:6">
      <c r="A14" s="312">
        <v>4</v>
      </c>
      <c r="B14" s="310">
        <v>0.33329999999999999</v>
      </c>
      <c r="C14" s="309"/>
      <c r="E14" s="308"/>
      <c r="F14" s="307"/>
    </row>
    <row r="15" spans="1:6">
      <c r="A15" s="312">
        <v>5</v>
      </c>
      <c r="B15" s="310">
        <v>0.41670000000000001</v>
      </c>
      <c r="C15" s="309"/>
      <c r="E15" s="308"/>
      <c r="F15" s="307"/>
    </row>
    <row r="16" spans="1:6">
      <c r="A16" s="312">
        <v>6</v>
      </c>
      <c r="B16" s="310">
        <v>0.5</v>
      </c>
      <c r="C16" s="309"/>
      <c r="E16" s="308"/>
      <c r="F16" s="307"/>
    </row>
    <row r="17" spans="1:6">
      <c r="A17" s="312">
        <v>7</v>
      </c>
      <c r="B17" s="310">
        <v>0.58330000000000004</v>
      </c>
      <c r="C17" s="309"/>
      <c r="E17" s="308"/>
      <c r="F17" s="307"/>
    </row>
    <row r="18" spans="1:6">
      <c r="A18" s="312">
        <v>8</v>
      </c>
      <c r="B18" s="310">
        <v>0.66669999999999996</v>
      </c>
      <c r="C18" s="309"/>
      <c r="E18" s="308"/>
      <c r="F18" s="307"/>
    </row>
    <row r="19" spans="1:6">
      <c r="A19" s="312">
        <v>9</v>
      </c>
      <c r="B19" s="310">
        <v>0.75</v>
      </c>
      <c r="C19" s="309"/>
      <c r="E19" s="308"/>
      <c r="F19" s="307"/>
    </row>
    <row r="20" spans="1:6">
      <c r="A20" s="312">
        <v>10</v>
      </c>
      <c r="B20" s="310">
        <v>0.83330000000000004</v>
      </c>
      <c r="C20" s="309"/>
      <c r="E20" s="308"/>
      <c r="F20" s="307"/>
    </row>
    <row r="21" spans="1:6">
      <c r="A21" s="312">
        <v>11</v>
      </c>
      <c r="B21" s="310">
        <v>0.91669999999999996</v>
      </c>
      <c r="C21" s="309"/>
      <c r="E21" s="308"/>
      <c r="F21" s="307"/>
    </row>
    <row r="22" spans="1:6">
      <c r="A22" s="311">
        <v>12</v>
      </c>
      <c r="B22" s="310">
        <v>1</v>
      </c>
      <c r="C22" s="309"/>
      <c r="E22" s="308"/>
      <c r="F22" s="307"/>
    </row>
    <row r="23" spans="1:6">
      <c r="A23" s="312">
        <v>13</v>
      </c>
      <c r="B23" s="310">
        <v>1.0832999999999999</v>
      </c>
      <c r="C23" s="309"/>
      <c r="E23" s="308"/>
      <c r="F23" s="307"/>
    </row>
    <row r="24" spans="1:6">
      <c r="A24" s="312">
        <v>14</v>
      </c>
      <c r="B24" s="310">
        <v>1.1667000000000001</v>
      </c>
      <c r="C24" s="309"/>
      <c r="E24" s="308"/>
      <c r="F24" s="307"/>
    </row>
    <row r="25" spans="1:6">
      <c r="A25" s="312">
        <v>15</v>
      </c>
      <c r="B25" s="310">
        <v>1.25</v>
      </c>
      <c r="C25" s="309"/>
      <c r="E25" s="308"/>
      <c r="F25" s="307"/>
    </row>
    <row r="26" spans="1:6">
      <c r="A26" s="312">
        <v>16</v>
      </c>
      <c r="B26" s="310">
        <v>1.3332999999999999</v>
      </c>
      <c r="C26" s="309"/>
      <c r="E26" s="308"/>
      <c r="F26" s="307"/>
    </row>
    <row r="27" spans="1:6">
      <c r="A27" s="312">
        <v>17</v>
      </c>
      <c r="B27" s="310">
        <v>1.4167000000000001</v>
      </c>
      <c r="C27" s="309"/>
      <c r="E27" s="308"/>
      <c r="F27" s="307"/>
    </row>
    <row r="28" spans="1:6">
      <c r="A28" s="312">
        <v>18</v>
      </c>
      <c r="B28" s="310">
        <v>1.5</v>
      </c>
      <c r="C28" s="309"/>
      <c r="E28" s="308"/>
      <c r="F28" s="307"/>
    </row>
    <row r="29" spans="1:6">
      <c r="A29" s="312">
        <v>19</v>
      </c>
      <c r="B29" s="310">
        <v>1.5832999999999999</v>
      </c>
      <c r="C29" s="309"/>
      <c r="E29" s="308"/>
      <c r="F29" s="307"/>
    </row>
    <row r="30" spans="1:6">
      <c r="A30" s="312">
        <v>20</v>
      </c>
      <c r="B30" s="310">
        <v>1.6667000000000001</v>
      </c>
      <c r="C30" s="309"/>
      <c r="E30" s="308"/>
      <c r="F30" s="307"/>
    </row>
    <row r="31" spans="1:6">
      <c r="A31" s="312">
        <v>21</v>
      </c>
      <c r="B31" s="310">
        <v>1.75</v>
      </c>
      <c r="C31" s="309"/>
      <c r="E31" s="308"/>
      <c r="F31" s="307"/>
    </row>
    <row r="32" spans="1:6">
      <c r="A32" s="312">
        <v>22</v>
      </c>
      <c r="B32" s="310">
        <v>1.8332999999999999</v>
      </c>
      <c r="C32" s="309"/>
      <c r="E32" s="308"/>
      <c r="F32" s="307"/>
    </row>
    <row r="33" spans="1:6">
      <c r="A33" s="312">
        <v>23</v>
      </c>
      <c r="B33" s="310">
        <v>1.9167000000000001</v>
      </c>
      <c r="C33" s="309"/>
      <c r="E33" s="308"/>
      <c r="F33" s="307"/>
    </row>
    <row r="34" spans="1:6">
      <c r="A34" s="311">
        <v>24</v>
      </c>
      <c r="B34" s="310">
        <v>2</v>
      </c>
      <c r="C34" s="309"/>
      <c r="E34" s="308"/>
      <c r="F34" s="307"/>
    </row>
    <row r="35" spans="1:6">
      <c r="A35" s="312">
        <v>25</v>
      </c>
      <c r="B35" s="310">
        <v>2.0832999999999999</v>
      </c>
      <c r="C35" s="309"/>
      <c r="E35" s="308"/>
      <c r="F35" s="307"/>
    </row>
    <row r="36" spans="1:6">
      <c r="A36" s="312">
        <v>26</v>
      </c>
      <c r="B36" s="310">
        <v>2.1667000000000001</v>
      </c>
      <c r="C36" s="309"/>
      <c r="E36" s="308"/>
      <c r="F36" s="307"/>
    </row>
    <row r="37" spans="1:6">
      <c r="A37" s="312">
        <v>27</v>
      </c>
      <c r="B37" s="310">
        <v>2.25</v>
      </c>
      <c r="C37" s="309"/>
      <c r="E37" s="308"/>
      <c r="F37" s="307"/>
    </row>
    <row r="38" spans="1:6">
      <c r="A38" s="312">
        <v>28</v>
      </c>
      <c r="B38" s="310">
        <v>2.3332999999999999</v>
      </c>
      <c r="C38" s="309"/>
      <c r="E38" s="308"/>
      <c r="F38" s="307"/>
    </row>
    <row r="39" spans="1:6">
      <c r="A39" s="312">
        <v>29</v>
      </c>
      <c r="B39" s="310">
        <v>2.4167000000000001</v>
      </c>
      <c r="C39" s="309"/>
      <c r="E39" s="308"/>
      <c r="F39" s="307"/>
    </row>
    <row r="40" spans="1:6">
      <c r="A40" s="312">
        <v>30</v>
      </c>
      <c r="B40" s="310">
        <v>2.5</v>
      </c>
      <c r="C40" s="309"/>
      <c r="E40" s="308"/>
      <c r="F40" s="307"/>
    </row>
    <row r="41" spans="1:6">
      <c r="A41" s="312">
        <v>31</v>
      </c>
      <c r="B41" s="310">
        <v>2.5832999999999999</v>
      </c>
      <c r="C41" s="309"/>
      <c r="E41" s="308"/>
      <c r="F41" s="307"/>
    </row>
    <row r="42" spans="1:6">
      <c r="A42" s="312">
        <v>32</v>
      </c>
      <c r="B42" s="310">
        <v>2.6667000000000001</v>
      </c>
      <c r="C42" s="309"/>
      <c r="E42" s="308"/>
      <c r="F42" s="307"/>
    </row>
    <row r="43" spans="1:6">
      <c r="A43" s="312">
        <v>33</v>
      </c>
      <c r="B43" s="310">
        <v>2.75</v>
      </c>
      <c r="C43" s="309"/>
      <c r="E43" s="308"/>
      <c r="F43" s="307"/>
    </row>
    <row r="44" spans="1:6">
      <c r="A44" s="312">
        <v>34</v>
      </c>
      <c r="B44" s="310">
        <v>2.8332999999999999</v>
      </c>
      <c r="C44" s="309"/>
      <c r="E44" s="308"/>
      <c r="F44" s="307"/>
    </row>
    <row r="45" spans="1:6">
      <c r="A45" s="312">
        <v>35</v>
      </c>
      <c r="B45" s="310">
        <v>2.9167000000000001</v>
      </c>
      <c r="C45" s="309"/>
      <c r="E45" s="308"/>
      <c r="F45" s="307"/>
    </row>
    <row r="46" spans="1:6">
      <c r="A46" s="311">
        <v>36</v>
      </c>
      <c r="B46" s="310">
        <v>3</v>
      </c>
      <c r="C46" s="309"/>
      <c r="E46" s="308"/>
      <c r="F46" s="307"/>
    </row>
    <row r="47" spans="1:6">
      <c r="A47" s="312">
        <v>37</v>
      </c>
      <c r="B47" s="310">
        <v>3.0832999999999999</v>
      </c>
      <c r="C47" s="309"/>
      <c r="E47" s="308"/>
      <c r="F47" s="307"/>
    </row>
    <row r="48" spans="1:6">
      <c r="A48" s="312">
        <v>38</v>
      </c>
      <c r="B48" s="310">
        <v>3.1667000000000001</v>
      </c>
      <c r="C48" s="309"/>
      <c r="E48" s="308"/>
      <c r="F48" s="307"/>
    </row>
    <row r="49" spans="1:6">
      <c r="A49" s="312">
        <v>39</v>
      </c>
      <c r="B49" s="310">
        <v>3.25</v>
      </c>
      <c r="C49" s="309"/>
      <c r="E49" s="308"/>
      <c r="F49" s="307"/>
    </row>
    <row r="50" spans="1:6">
      <c r="A50" s="312">
        <v>40</v>
      </c>
      <c r="B50" s="310">
        <v>3.3332999999999999</v>
      </c>
      <c r="C50" s="309"/>
      <c r="E50" s="308"/>
      <c r="F50" s="307"/>
    </row>
    <row r="51" spans="1:6">
      <c r="A51" s="312">
        <v>41</v>
      </c>
      <c r="B51" s="310">
        <v>3.4167000000000001</v>
      </c>
      <c r="C51" s="309"/>
      <c r="E51" s="308"/>
      <c r="F51" s="307"/>
    </row>
    <row r="52" spans="1:6">
      <c r="A52" s="312">
        <v>42</v>
      </c>
      <c r="B52" s="310">
        <v>3.5</v>
      </c>
      <c r="C52" s="309"/>
      <c r="E52" s="308"/>
      <c r="F52" s="307"/>
    </row>
    <row r="53" spans="1:6">
      <c r="A53" s="312">
        <v>43</v>
      </c>
      <c r="B53" s="310">
        <v>3.5832999999999999</v>
      </c>
      <c r="C53" s="309"/>
      <c r="E53" s="308"/>
      <c r="F53" s="307"/>
    </row>
    <row r="54" spans="1:6">
      <c r="A54" s="312">
        <v>44</v>
      </c>
      <c r="B54" s="310">
        <v>3.6667000000000001</v>
      </c>
      <c r="C54" s="309"/>
      <c r="E54" s="308"/>
      <c r="F54" s="307"/>
    </row>
    <row r="55" spans="1:6">
      <c r="A55" s="312">
        <v>45</v>
      </c>
      <c r="B55" s="310">
        <v>3.75</v>
      </c>
      <c r="C55" s="309"/>
      <c r="E55" s="308"/>
      <c r="F55" s="307"/>
    </row>
    <row r="56" spans="1:6">
      <c r="A56" s="312">
        <v>46</v>
      </c>
      <c r="B56" s="310">
        <v>3.8332999999999999</v>
      </c>
      <c r="C56" s="309"/>
      <c r="E56" s="308"/>
      <c r="F56" s="307"/>
    </row>
    <row r="57" spans="1:6">
      <c r="A57" s="312">
        <v>47</v>
      </c>
      <c r="B57" s="310">
        <v>3.9167000000000001</v>
      </c>
      <c r="C57" s="309"/>
      <c r="E57" s="308"/>
      <c r="F57" s="307"/>
    </row>
    <row r="58" spans="1:6">
      <c r="A58" s="311">
        <v>48</v>
      </c>
      <c r="B58" s="310">
        <v>4</v>
      </c>
      <c r="C58" s="309"/>
      <c r="E58" s="308"/>
      <c r="F58" s="307"/>
    </row>
    <row r="59" spans="1:6">
      <c r="A59" s="312">
        <v>49</v>
      </c>
      <c r="B59" s="310">
        <v>4.0833000000000004</v>
      </c>
      <c r="C59" s="309"/>
      <c r="E59" s="308"/>
      <c r="F59" s="307"/>
    </row>
    <row r="60" spans="1:6">
      <c r="A60" s="312">
        <v>50</v>
      </c>
      <c r="B60" s="310">
        <v>4.1666999999999996</v>
      </c>
      <c r="C60" s="309"/>
      <c r="E60" s="308"/>
      <c r="F60" s="307"/>
    </row>
    <row r="61" spans="1:6">
      <c r="A61" s="312">
        <v>51</v>
      </c>
      <c r="B61" s="310">
        <v>4.25</v>
      </c>
      <c r="C61" s="309"/>
      <c r="E61" s="308"/>
      <c r="F61" s="307"/>
    </row>
    <row r="62" spans="1:6">
      <c r="A62" s="312">
        <v>52</v>
      </c>
      <c r="B62" s="310">
        <v>4.3333000000000004</v>
      </c>
      <c r="C62" s="309"/>
      <c r="E62" s="308"/>
      <c r="F62" s="307"/>
    </row>
    <row r="63" spans="1:6">
      <c r="A63" s="312">
        <v>53</v>
      </c>
      <c r="B63" s="310">
        <v>4.4166999999999996</v>
      </c>
      <c r="C63" s="309"/>
      <c r="E63" s="308"/>
      <c r="F63" s="307"/>
    </row>
    <row r="64" spans="1:6">
      <c r="A64" s="312">
        <v>54</v>
      </c>
      <c r="B64" s="310">
        <v>4.5</v>
      </c>
      <c r="C64" s="309"/>
      <c r="E64" s="308"/>
      <c r="F64" s="307"/>
    </row>
    <row r="65" spans="1:6">
      <c r="A65" s="312">
        <v>55</v>
      </c>
      <c r="B65" s="310">
        <v>4.5833000000000004</v>
      </c>
      <c r="C65" s="309"/>
      <c r="E65" s="308"/>
      <c r="F65" s="307"/>
    </row>
    <row r="66" spans="1:6">
      <c r="A66" s="312">
        <v>56</v>
      </c>
      <c r="B66" s="310">
        <v>4.6666999999999996</v>
      </c>
      <c r="C66" s="309"/>
      <c r="E66" s="308"/>
      <c r="F66" s="307"/>
    </row>
    <row r="67" spans="1:6">
      <c r="A67" s="312">
        <v>57</v>
      </c>
      <c r="B67" s="310">
        <v>4.75</v>
      </c>
      <c r="C67" s="309"/>
      <c r="E67" s="308"/>
      <c r="F67" s="307"/>
    </row>
    <row r="68" spans="1:6">
      <c r="A68" s="312">
        <v>58</v>
      </c>
      <c r="B68" s="310">
        <v>4.8333000000000004</v>
      </c>
      <c r="C68" s="309"/>
      <c r="E68" s="308"/>
      <c r="F68" s="307"/>
    </row>
    <row r="69" spans="1:6">
      <c r="A69" s="312">
        <v>59</v>
      </c>
      <c r="B69" s="310">
        <v>4.9166999999999996</v>
      </c>
      <c r="C69" s="309"/>
      <c r="E69" s="308"/>
      <c r="F69" s="307"/>
    </row>
    <row r="70" spans="1:6">
      <c r="A70" s="311">
        <v>60</v>
      </c>
      <c r="B70" s="310">
        <v>5</v>
      </c>
      <c r="C70" s="309"/>
      <c r="E70" s="308"/>
      <c r="F70" s="307"/>
    </row>
  </sheetData>
  <sheetProtection password="F4F5" sheet="1" objects="1" scenarios="1" selectLockedCells="1" selectUnlockedCells="1"/>
  <printOptions horizontalCentered="1" verticalCentered="1"/>
  <pageMargins left="0.78740157480314965" right="0.78740157480314965" top="0.98425196850393704" bottom="0.98425196850393704" header="0" footer="0"/>
  <pageSetup scale="8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sheetPr codeName="Hoja21">
    <pageSetUpPr fitToPage="1"/>
  </sheetPr>
  <dimension ref="A4:O81"/>
  <sheetViews>
    <sheetView topLeftCell="P47" workbookViewId="0">
      <selection activeCell="O47" sqref="A1:O65536"/>
    </sheetView>
  </sheetViews>
  <sheetFormatPr baseColWidth="10" defaultColWidth="9.33203125" defaultRowHeight="12.75"/>
  <cols>
    <col min="1" max="1" width="15" style="306" hidden="1" customWidth="1"/>
    <col min="2" max="2" width="16.1640625" style="306" hidden="1" customWidth="1"/>
    <col min="3" max="4" width="12" style="306" hidden="1" customWidth="1"/>
    <col min="5" max="5" width="13" style="306" hidden="1" customWidth="1"/>
    <col min="6" max="6" width="12" style="306" hidden="1" customWidth="1"/>
    <col min="7" max="7" width="5.6640625" style="306" hidden="1" customWidth="1"/>
    <col min="8" max="15" width="9.33203125" style="306" hidden="1" customWidth="1"/>
    <col min="16" max="16384" width="9.33203125" style="306"/>
  </cols>
  <sheetData>
    <row r="4" spans="1:11" ht="23.25">
      <c r="B4" s="1004" t="s">
        <v>30</v>
      </c>
      <c r="C4" s="1004"/>
      <c r="D4" s="1004"/>
      <c r="E4" s="1004"/>
      <c r="F4" s="1004"/>
      <c r="G4" s="1004"/>
    </row>
    <row r="5" spans="1:11" ht="5.25" customHeight="1"/>
    <row r="6" spans="1:11" ht="15.75">
      <c r="B6" s="1005" t="s">
        <v>31</v>
      </c>
      <c r="C6" s="1005"/>
      <c r="D6" s="1005"/>
      <c r="E6" s="1005"/>
      <c r="F6" s="1005"/>
      <c r="G6" s="1005"/>
    </row>
    <row r="7" spans="1:11" s="328" customFormat="1" ht="3.75" customHeight="1"/>
    <row r="8" spans="1:11">
      <c r="A8" s="327"/>
    </row>
    <row r="9" spans="1:11" ht="6.75" customHeight="1"/>
    <row r="10" spans="1:11" ht="18">
      <c r="B10" s="171"/>
    </row>
    <row r="11" spans="1:11" ht="13.5" thickBot="1">
      <c r="C11" s="1009" t="s">
        <v>98</v>
      </c>
      <c r="D11" s="1009"/>
      <c r="E11" s="1009"/>
      <c r="F11" s="1009"/>
    </row>
    <row r="12" spans="1:11" ht="13.5" thickTop="1">
      <c r="A12" s="326" t="s">
        <v>34</v>
      </c>
      <c r="B12" s="169" t="s">
        <v>32</v>
      </c>
      <c r="C12" s="168" t="s">
        <v>33</v>
      </c>
      <c r="D12" s="168"/>
      <c r="E12" s="168"/>
      <c r="F12" s="167"/>
    </row>
    <row r="13" spans="1:11" ht="13.5" thickBot="1">
      <c r="A13" s="325"/>
      <c r="B13" s="165" t="s">
        <v>35</v>
      </c>
      <c r="C13" s="164" t="s">
        <v>36</v>
      </c>
      <c r="D13" s="164" t="s">
        <v>37</v>
      </c>
      <c r="E13" s="164" t="s">
        <v>38</v>
      </c>
      <c r="F13" s="163" t="s">
        <v>39</v>
      </c>
    </row>
    <row r="14" spans="1:11" ht="13.5" thickTop="1">
      <c r="C14" s="306">
        <v>360</v>
      </c>
      <c r="D14" s="306">
        <v>180</v>
      </c>
      <c r="E14" s="306">
        <v>90</v>
      </c>
      <c r="F14" s="306">
        <v>30</v>
      </c>
    </row>
    <row r="15" spans="1:11">
      <c r="A15" s="1006">
        <v>0.18</v>
      </c>
      <c r="B15" s="162">
        <v>1</v>
      </c>
      <c r="C15" s="324">
        <v>0</v>
      </c>
      <c r="D15" s="324">
        <v>0</v>
      </c>
      <c r="E15" s="324">
        <v>0</v>
      </c>
      <c r="F15" s="324">
        <v>0</v>
      </c>
    </row>
    <row r="16" spans="1:11">
      <c r="A16" s="1007"/>
      <c r="B16" s="162">
        <v>2</v>
      </c>
      <c r="C16" s="323">
        <v>0.188</v>
      </c>
      <c r="D16" s="323">
        <v>0.185</v>
      </c>
      <c r="E16" s="323">
        <v>0.182</v>
      </c>
      <c r="F16" s="323">
        <v>0.17899999999999999</v>
      </c>
      <c r="H16" s="323"/>
      <c r="I16" s="323"/>
      <c r="J16" s="323"/>
      <c r="K16" s="323"/>
    </row>
    <row r="17" spans="1:11">
      <c r="A17" s="1007"/>
      <c r="B17" s="162">
        <v>3</v>
      </c>
      <c r="C17" s="323">
        <v>0.2</v>
      </c>
      <c r="D17" s="323">
        <v>0.193</v>
      </c>
      <c r="E17" s="323">
        <v>0.187</v>
      </c>
      <c r="F17" s="323">
        <v>0.18099999999999999</v>
      </c>
      <c r="H17" s="323"/>
      <c r="I17" s="323"/>
      <c r="J17" s="323"/>
      <c r="K17" s="323"/>
    </row>
    <row r="18" spans="1:11">
      <c r="A18" s="1007"/>
      <c r="B18" s="162">
        <v>4</v>
      </c>
      <c r="C18" s="323">
        <v>0.21199999999999999</v>
      </c>
      <c r="D18" s="323">
        <v>0.20100000000000001</v>
      </c>
      <c r="E18" s="323">
        <v>0.193</v>
      </c>
      <c r="F18" s="323">
        <v>0.183</v>
      </c>
      <c r="H18" s="323"/>
      <c r="I18" s="323"/>
      <c r="J18" s="323"/>
      <c r="K18" s="323"/>
    </row>
    <row r="19" spans="1:11">
      <c r="A19" s="1007"/>
      <c r="B19" s="162">
        <v>5</v>
      </c>
      <c r="C19" s="323">
        <v>0.223</v>
      </c>
      <c r="D19" s="323">
        <v>0.21</v>
      </c>
      <c r="E19" s="323">
        <v>0.19700000000000001</v>
      </c>
      <c r="F19" s="323">
        <v>0.185</v>
      </c>
      <c r="H19" s="323"/>
      <c r="I19" s="323"/>
      <c r="J19" s="323"/>
      <c r="K19" s="323"/>
    </row>
    <row r="20" spans="1:11">
      <c r="A20" s="1007"/>
      <c r="B20" s="162">
        <v>6</v>
      </c>
      <c r="D20" s="323">
        <v>0.219</v>
      </c>
      <c r="E20" s="323">
        <v>0.20300000000000001</v>
      </c>
      <c r="F20" s="323">
        <v>0.187</v>
      </c>
      <c r="I20" s="323"/>
      <c r="J20" s="323"/>
      <c r="K20" s="323"/>
    </row>
    <row r="21" spans="1:11">
      <c r="A21" s="1007"/>
      <c r="B21" s="162">
        <v>7</v>
      </c>
      <c r="D21" s="323">
        <v>0.22700000000000001</v>
      </c>
      <c r="E21" s="323">
        <v>0.20899999999999999</v>
      </c>
      <c r="F21" s="323">
        <v>0.189</v>
      </c>
      <c r="I21" s="323"/>
      <c r="J21" s="323"/>
      <c r="K21" s="323"/>
    </row>
    <row r="22" spans="1:11">
      <c r="A22" s="1007"/>
      <c r="B22" s="162">
        <v>8</v>
      </c>
      <c r="D22" s="323">
        <v>0.23499999999999999</v>
      </c>
      <c r="E22" s="323">
        <v>0.214</v>
      </c>
      <c r="F22" s="323">
        <v>0.192</v>
      </c>
      <c r="I22" s="323"/>
      <c r="J22" s="323"/>
      <c r="K22" s="323"/>
    </row>
    <row r="23" spans="1:11">
      <c r="A23" s="1007"/>
      <c r="B23" s="162">
        <v>9</v>
      </c>
      <c r="D23" s="323">
        <v>0.245</v>
      </c>
      <c r="E23" s="323">
        <v>0.22</v>
      </c>
      <c r="F23" s="323">
        <v>0.19400000000000001</v>
      </c>
      <c r="I23" s="323"/>
      <c r="J23" s="323"/>
      <c r="K23" s="323"/>
    </row>
    <row r="24" spans="1:11">
      <c r="A24" s="1007"/>
      <c r="B24" s="162">
        <v>10</v>
      </c>
      <c r="D24" s="323">
        <v>0.253</v>
      </c>
      <c r="E24" s="323">
        <v>0.22600000000000001</v>
      </c>
      <c r="F24" s="323">
        <v>0.19600000000000001</v>
      </c>
      <c r="I24" s="323"/>
      <c r="J24" s="323"/>
      <c r="K24" s="323"/>
    </row>
    <row r="25" spans="1:11">
      <c r="A25" s="1007"/>
      <c r="B25" s="162">
        <v>11</v>
      </c>
      <c r="E25" s="323">
        <v>0.23200000000000001</v>
      </c>
      <c r="F25" s="323">
        <v>0.19900000000000001</v>
      </c>
      <c r="J25" s="323"/>
      <c r="K25" s="323"/>
    </row>
    <row r="26" spans="1:11">
      <c r="A26" s="1007"/>
      <c r="B26" s="162">
        <v>12</v>
      </c>
      <c r="E26" s="323">
        <v>0.23599999999999999</v>
      </c>
      <c r="F26" s="323">
        <v>0.20100000000000001</v>
      </c>
      <c r="J26" s="323"/>
      <c r="K26" s="323"/>
    </row>
    <row r="27" spans="1:11">
      <c r="A27" s="1007"/>
      <c r="B27" s="162">
        <v>13</v>
      </c>
      <c r="E27" s="323">
        <v>0.24199999999999999</v>
      </c>
      <c r="F27" s="323">
        <v>0.20200000000000001</v>
      </c>
      <c r="J27" s="323"/>
      <c r="K27" s="323"/>
    </row>
    <row r="28" spans="1:11">
      <c r="A28" s="1007"/>
      <c r="B28" s="162">
        <v>14</v>
      </c>
      <c r="E28" s="323">
        <v>0.248</v>
      </c>
      <c r="F28" s="323">
        <v>0.20499999999999999</v>
      </c>
      <c r="J28" s="323"/>
      <c r="K28" s="323"/>
    </row>
    <row r="29" spans="1:11">
      <c r="A29" s="1007"/>
      <c r="B29" s="162">
        <v>15</v>
      </c>
      <c r="E29" s="323">
        <v>0.254</v>
      </c>
      <c r="F29" s="323">
        <v>0.20699999999999999</v>
      </c>
      <c r="J29" s="323"/>
      <c r="K29" s="323"/>
    </row>
    <row r="30" spans="1:11">
      <c r="A30" s="1007"/>
      <c r="B30" s="162">
        <v>16</v>
      </c>
      <c r="E30" s="323">
        <v>0.25900000000000001</v>
      </c>
      <c r="F30" s="323">
        <v>0.20899999999999999</v>
      </c>
      <c r="J30" s="323"/>
      <c r="K30" s="323"/>
    </row>
    <row r="31" spans="1:11">
      <c r="A31" s="1007"/>
      <c r="B31" s="162">
        <v>17</v>
      </c>
      <c r="E31" s="323">
        <v>0.26500000000000001</v>
      </c>
      <c r="F31" s="323">
        <v>0.21199999999999999</v>
      </c>
      <c r="J31" s="323"/>
      <c r="K31" s="323"/>
    </row>
    <row r="32" spans="1:11">
      <c r="A32" s="1007"/>
      <c r="B32" s="162">
        <v>18</v>
      </c>
      <c r="E32" s="323">
        <v>0.27</v>
      </c>
      <c r="F32" s="323">
        <v>0.214</v>
      </c>
      <c r="J32" s="323"/>
      <c r="K32" s="323"/>
    </row>
    <row r="33" spans="1:11">
      <c r="A33" s="1007"/>
      <c r="B33" s="162">
        <v>19</v>
      </c>
      <c r="E33" s="323">
        <v>0.27600000000000002</v>
      </c>
      <c r="F33" s="323">
        <v>0.216</v>
      </c>
      <c r="J33" s="323"/>
      <c r="K33" s="323"/>
    </row>
    <row r="34" spans="1:11">
      <c r="A34" s="1007"/>
      <c r="B34" s="162">
        <v>20</v>
      </c>
      <c r="E34" s="323">
        <v>0.28199999999999997</v>
      </c>
      <c r="F34" s="323">
        <v>0.219</v>
      </c>
      <c r="J34" s="323"/>
      <c r="K34" s="323"/>
    </row>
    <row r="35" spans="1:11">
      <c r="A35" s="1007"/>
      <c r="B35" s="162">
        <v>21</v>
      </c>
      <c r="F35" s="323">
        <v>0.221</v>
      </c>
      <c r="K35" s="323"/>
    </row>
    <row r="36" spans="1:11">
      <c r="A36" s="1007"/>
      <c r="B36" s="162">
        <v>22</v>
      </c>
      <c r="F36" s="323">
        <v>0.223</v>
      </c>
      <c r="K36" s="323"/>
    </row>
    <row r="37" spans="1:11">
      <c r="A37" s="1007"/>
      <c r="B37" s="162">
        <v>23</v>
      </c>
      <c r="F37" s="323">
        <v>0.22500000000000001</v>
      </c>
      <c r="K37" s="323"/>
    </row>
    <row r="38" spans="1:11">
      <c r="A38" s="1007"/>
      <c r="B38" s="162">
        <v>24</v>
      </c>
      <c r="F38" s="323">
        <v>0.22700000000000001</v>
      </c>
      <c r="K38" s="323"/>
    </row>
    <row r="39" spans="1:11">
      <c r="A39" s="1007"/>
      <c r="B39" s="162">
        <v>25</v>
      </c>
      <c r="F39" s="323">
        <v>0.22900000000000001</v>
      </c>
      <c r="K39" s="323"/>
    </row>
    <row r="40" spans="1:11">
      <c r="A40" s="1007"/>
      <c r="B40" s="162">
        <v>26</v>
      </c>
      <c r="F40" s="323">
        <v>0.23200000000000001</v>
      </c>
      <c r="K40" s="323"/>
    </row>
    <row r="41" spans="1:11">
      <c r="A41" s="1007"/>
      <c r="B41" s="162">
        <v>27</v>
      </c>
      <c r="F41" s="323">
        <v>0.23400000000000001</v>
      </c>
      <c r="K41" s="323"/>
    </row>
    <row r="42" spans="1:11">
      <c r="A42" s="1007"/>
      <c r="B42" s="162">
        <v>28</v>
      </c>
      <c r="F42" s="323">
        <v>0.23599999999999999</v>
      </c>
      <c r="K42" s="323"/>
    </row>
    <row r="43" spans="1:11">
      <c r="A43" s="1007"/>
      <c r="B43" s="162">
        <v>29</v>
      </c>
      <c r="F43" s="323">
        <v>0.23899999999999999</v>
      </c>
      <c r="K43" s="323"/>
    </row>
    <row r="44" spans="1:11">
      <c r="A44" s="1007"/>
      <c r="B44" s="162">
        <v>30</v>
      </c>
      <c r="F44" s="323">
        <v>0.24099999999999999</v>
      </c>
      <c r="K44" s="323"/>
    </row>
    <row r="45" spans="1:11">
      <c r="A45" s="1007"/>
      <c r="B45" s="162">
        <v>31</v>
      </c>
      <c r="F45" s="323">
        <v>0.24299999999999999</v>
      </c>
      <c r="K45" s="323"/>
    </row>
    <row r="46" spans="1:11">
      <c r="A46" s="1007"/>
      <c r="B46" s="162">
        <v>32</v>
      </c>
      <c r="F46" s="323">
        <v>0.246</v>
      </c>
      <c r="K46" s="323"/>
    </row>
    <row r="47" spans="1:11">
      <c r="A47" s="1007"/>
      <c r="B47" s="162">
        <v>33</v>
      </c>
      <c r="F47" s="323">
        <v>0.248</v>
      </c>
      <c r="K47" s="323"/>
    </row>
    <row r="48" spans="1:11">
      <c r="A48" s="1007"/>
      <c r="B48" s="162">
        <v>34</v>
      </c>
      <c r="F48" s="323">
        <v>0.25</v>
      </c>
      <c r="K48" s="323"/>
    </row>
    <row r="49" spans="1:11">
      <c r="A49" s="1007"/>
      <c r="B49" s="162">
        <v>35</v>
      </c>
      <c r="F49" s="323">
        <v>0.253</v>
      </c>
      <c r="K49" s="323"/>
    </row>
    <row r="50" spans="1:11">
      <c r="A50" s="1007"/>
      <c r="B50" s="162">
        <v>36</v>
      </c>
      <c r="F50" s="323">
        <v>0.255</v>
      </c>
      <c r="K50" s="323"/>
    </row>
    <row r="51" spans="1:11">
      <c r="A51" s="1007"/>
      <c r="B51" s="162">
        <v>37</v>
      </c>
      <c r="F51" s="323">
        <v>0.25600000000000001</v>
      </c>
      <c r="K51" s="323"/>
    </row>
    <row r="52" spans="1:11">
      <c r="A52" s="1007"/>
      <c r="B52" s="162">
        <v>38</v>
      </c>
      <c r="F52" s="323">
        <v>0.25900000000000001</v>
      </c>
      <c r="K52" s="323"/>
    </row>
    <row r="53" spans="1:11">
      <c r="A53" s="1007"/>
      <c r="B53" s="162">
        <v>39</v>
      </c>
      <c r="F53" s="323">
        <v>0.26100000000000001</v>
      </c>
      <c r="K53" s="323"/>
    </row>
    <row r="54" spans="1:11">
      <c r="A54" s="1007"/>
      <c r="B54" s="162">
        <v>40</v>
      </c>
      <c r="F54" s="323">
        <v>0.26300000000000001</v>
      </c>
      <c r="K54" s="323"/>
    </row>
    <row r="55" spans="1:11">
      <c r="A55" s="1007"/>
      <c r="B55" s="162">
        <v>41</v>
      </c>
      <c r="F55" s="323">
        <v>0.26600000000000001</v>
      </c>
      <c r="K55" s="323"/>
    </row>
    <row r="56" spans="1:11">
      <c r="A56" s="1007"/>
      <c r="B56" s="162">
        <v>42</v>
      </c>
      <c r="F56" s="323">
        <v>0.26800000000000002</v>
      </c>
      <c r="K56" s="323"/>
    </row>
    <row r="57" spans="1:11">
      <c r="A57" s="1007"/>
      <c r="B57" s="162">
        <v>43</v>
      </c>
      <c r="F57" s="323">
        <v>0.27</v>
      </c>
      <c r="K57" s="323"/>
    </row>
    <row r="58" spans="1:11">
      <c r="A58" s="1007"/>
      <c r="B58" s="162">
        <v>44</v>
      </c>
      <c r="F58" s="323">
        <v>0.27300000000000002</v>
      </c>
      <c r="K58" s="323"/>
    </row>
    <row r="59" spans="1:11">
      <c r="A59" s="1007"/>
      <c r="B59" s="162">
        <v>45</v>
      </c>
      <c r="F59" s="323">
        <v>0.27500000000000002</v>
      </c>
      <c r="K59" s="323"/>
    </row>
    <row r="60" spans="1:11">
      <c r="A60" s="1007"/>
      <c r="B60" s="162">
        <v>46</v>
      </c>
      <c r="F60" s="323">
        <v>0.27700000000000002</v>
      </c>
      <c r="K60" s="323"/>
    </row>
    <row r="61" spans="1:11">
      <c r="A61" s="1007"/>
      <c r="B61" s="162">
        <v>47</v>
      </c>
      <c r="F61" s="323">
        <v>0.28000000000000003</v>
      </c>
      <c r="K61" s="323"/>
    </row>
    <row r="62" spans="1:11">
      <c r="A62" s="1007"/>
      <c r="B62" s="162">
        <v>48</v>
      </c>
      <c r="F62" s="323">
        <v>0.28199999999999997</v>
      </c>
      <c r="K62" s="323"/>
    </row>
    <row r="63" spans="1:11">
      <c r="A63" s="1007"/>
      <c r="B63" s="162">
        <v>49</v>
      </c>
      <c r="F63" s="323">
        <v>0.28499999999999998</v>
      </c>
      <c r="K63" s="323"/>
    </row>
    <row r="64" spans="1:11">
      <c r="A64" s="1007"/>
      <c r="B64" s="162">
        <v>50</v>
      </c>
      <c r="F64" s="323">
        <v>0.28699999999999998</v>
      </c>
      <c r="K64" s="323"/>
    </row>
    <row r="65" spans="1:11">
      <c r="A65" s="1007"/>
      <c r="B65" s="162">
        <v>51</v>
      </c>
      <c r="F65" s="323">
        <v>0.28899999999999998</v>
      </c>
      <c r="K65" s="323"/>
    </row>
    <row r="66" spans="1:11">
      <c r="A66" s="1007"/>
      <c r="B66" s="162">
        <v>52</v>
      </c>
      <c r="F66" s="323">
        <v>0.29199999999999998</v>
      </c>
      <c r="K66" s="323"/>
    </row>
    <row r="67" spans="1:11">
      <c r="A67" s="1007"/>
      <c r="B67" s="162">
        <v>53</v>
      </c>
      <c r="F67" s="323">
        <v>0.29399999999999998</v>
      </c>
      <c r="K67" s="323"/>
    </row>
    <row r="68" spans="1:11">
      <c r="A68" s="1007"/>
      <c r="B68" s="162">
        <v>54</v>
      </c>
      <c r="F68" s="323">
        <v>0.29599999999999999</v>
      </c>
      <c r="K68" s="323"/>
    </row>
    <row r="69" spans="1:11">
      <c r="A69" s="1007"/>
      <c r="B69" s="162">
        <v>55</v>
      </c>
      <c r="F69" s="323">
        <v>0.29899999999999999</v>
      </c>
      <c r="K69" s="323"/>
    </row>
    <row r="70" spans="1:11">
      <c r="A70" s="1007"/>
      <c r="B70" s="162">
        <v>56</v>
      </c>
      <c r="F70" s="323">
        <v>0.30099999999999999</v>
      </c>
      <c r="K70" s="323"/>
    </row>
    <row r="71" spans="1:11">
      <c r="A71" s="1007"/>
      <c r="B71" s="162">
        <v>57</v>
      </c>
      <c r="F71" s="323">
        <v>0.30299999999999999</v>
      </c>
      <c r="K71" s="323"/>
    </row>
    <row r="72" spans="1:11">
      <c r="A72" s="1007"/>
      <c r="B72" s="162">
        <v>58</v>
      </c>
      <c r="F72" s="323">
        <v>0.30599999999999999</v>
      </c>
      <c r="K72" s="323"/>
    </row>
    <row r="73" spans="1:11">
      <c r="A73" s="1007"/>
      <c r="B73" s="162">
        <v>59</v>
      </c>
      <c r="F73" s="323">
        <v>0.308</v>
      </c>
      <c r="K73" s="323"/>
    </row>
    <row r="74" spans="1:11">
      <c r="A74" s="1008"/>
      <c r="B74" s="162">
        <v>60</v>
      </c>
      <c r="F74" s="323">
        <v>0.31</v>
      </c>
      <c r="K74" s="323"/>
    </row>
    <row r="81" spans="3:6">
      <c r="C81" s="322"/>
      <c r="D81" s="322"/>
      <c r="E81" s="322"/>
      <c r="F81" s="322"/>
    </row>
  </sheetData>
  <sheetProtection password="F4F5" sheet="1" objects="1" scenarios="1" selectLockedCells="1" selectUnlockedCells="1"/>
  <mergeCells count="4">
    <mergeCell ref="B4:G4"/>
    <mergeCell ref="B6:G6"/>
    <mergeCell ref="A15:A74"/>
    <mergeCell ref="C11:F11"/>
  </mergeCells>
  <printOptions horizontalCentered="1" verticalCentered="1"/>
  <pageMargins left="0.78740157480314965" right="0.78740157480314965" top="0.39370078740157483" bottom="0.39370078740157483" header="0" footer="0"/>
  <pageSetup scale="9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sheetPr codeName="Hoja22">
    <pageSetUpPr fitToPage="1"/>
  </sheetPr>
  <dimension ref="A1:N127"/>
  <sheetViews>
    <sheetView topLeftCell="O4" workbookViewId="0">
      <selection activeCell="N4" sqref="A1:N65536"/>
    </sheetView>
  </sheetViews>
  <sheetFormatPr baseColWidth="10" defaultColWidth="9.33203125" defaultRowHeight="13.5"/>
  <cols>
    <col min="1" max="1" width="12.6640625" style="285" hidden="1" customWidth="1"/>
    <col min="2" max="2" width="26.6640625" style="285" hidden="1" customWidth="1"/>
    <col min="3" max="3" width="1.33203125" style="287" hidden="1" customWidth="1"/>
    <col min="4" max="4" width="10.1640625" style="286" hidden="1" customWidth="1"/>
    <col min="5" max="5" width="19.6640625" style="336" hidden="1" customWidth="1"/>
    <col min="6" max="6" width="12" style="285" hidden="1" customWidth="1"/>
    <col min="7" max="7" width="19.83203125" style="285" hidden="1" customWidth="1"/>
    <col min="8" max="8" width="27.1640625" style="285" hidden="1" customWidth="1"/>
    <col min="9" max="14" width="9.33203125" style="285" hidden="1" customWidth="1"/>
    <col min="15" max="16384" width="9.33203125" style="285"/>
  </cols>
  <sheetData>
    <row r="1" spans="1:11">
      <c r="A1" s="305"/>
      <c r="D1" s="304"/>
    </row>
    <row r="2" spans="1:11" s="288" customFormat="1" ht="22.5" customHeight="1">
      <c r="A2" s="303"/>
      <c r="B2" s="303"/>
      <c r="C2" s="287"/>
      <c r="D2" s="303"/>
      <c r="E2" s="339"/>
    </row>
    <row r="3" spans="1:11" s="288" customFormat="1">
      <c r="C3" s="287"/>
      <c r="D3" s="300"/>
      <c r="E3" s="337"/>
    </row>
    <row r="4" spans="1:11" s="288" customFormat="1" ht="27">
      <c r="A4" s="302" t="s">
        <v>189</v>
      </c>
      <c r="B4" s="288" t="s">
        <v>188</v>
      </c>
      <c r="C4" s="287"/>
      <c r="D4" s="1003" t="s">
        <v>90</v>
      </c>
      <c r="E4" s="1003"/>
      <c r="H4"/>
      <c r="I4"/>
      <c r="J4"/>
      <c r="K4"/>
    </row>
    <row r="5" spans="1:11" s="288" customFormat="1">
      <c r="C5" s="287"/>
      <c r="D5" s="301" t="s">
        <v>85</v>
      </c>
      <c r="E5" s="338" t="s">
        <v>84</v>
      </c>
      <c r="H5"/>
      <c r="I5"/>
      <c r="J5"/>
      <c r="K5"/>
    </row>
    <row r="6" spans="1:11" s="288" customFormat="1">
      <c r="C6" s="287"/>
      <c r="D6" s="300"/>
      <c r="E6" s="337"/>
      <c r="H6"/>
      <c r="I6"/>
      <c r="J6"/>
      <c r="K6"/>
    </row>
    <row r="7" spans="1:11" s="288" customFormat="1">
      <c r="A7" s="288" t="s">
        <v>187</v>
      </c>
      <c r="B7" s="297" t="s">
        <v>13</v>
      </c>
      <c r="C7" s="287"/>
      <c r="D7" s="420">
        <v>4.2157</v>
      </c>
      <c r="E7" s="421">
        <v>1176.76</v>
      </c>
      <c r="F7" s="293"/>
      <c r="H7" s="297"/>
      <c r="I7" s="287"/>
      <c r="J7" s="420"/>
      <c r="K7" s="421"/>
    </row>
    <row r="8" spans="1:11" s="288" customFormat="1">
      <c r="A8" s="288" t="s">
        <v>186</v>
      </c>
      <c r="B8" s="297" t="s">
        <v>129</v>
      </c>
      <c r="C8" s="287"/>
      <c r="D8" s="420">
        <v>3.7538</v>
      </c>
      <c r="E8" s="421">
        <v>1176.76</v>
      </c>
      <c r="H8" s="297"/>
      <c r="I8" s="287"/>
      <c r="J8" s="420"/>
      <c r="K8" s="421"/>
    </row>
    <row r="9" spans="1:11" s="288" customFormat="1">
      <c r="A9" s="288" t="s">
        <v>187</v>
      </c>
      <c r="B9" s="297" t="s">
        <v>20</v>
      </c>
      <c r="C9" s="287"/>
      <c r="D9" s="420">
        <v>4.2725</v>
      </c>
      <c r="E9" s="421">
        <v>1176.76</v>
      </c>
      <c r="H9" s="297"/>
      <c r="I9" s="287"/>
      <c r="J9" s="420"/>
      <c r="K9" s="421"/>
    </row>
    <row r="10" spans="1:11" s="288" customFormat="1">
      <c r="A10" s="288" t="s">
        <v>184</v>
      </c>
      <c r="B10" s="297" t="s">
        <v>15</v>
      </c>
      <c r="C10" s="287"/>
      <c r="D10" s="420">
        <v>3.3405999999999998</v>
      </c>
      <c r="E10" s="421">
        <v>1176.76</v>
      </c>
      <c r="H10" s="297"/>
      <c r="I10" s="287"/>
      <c r="J10" s="420"/>
      <c r="K10" s="421"/>
    </row>
    <row r="11" spans="1:11" s="288" customFormat="1">
      <c r="A11" s="288" t="s">
        <v>183</v>
      </c>
      <c r="B11" s="297" t="s">
        <v>104</v>
      </c>
      <c r="C11" s="287"/>
      <c r="D11" s="393">
        <v>2.6191</v>
      </c>
      <c r="E11" s="392">
        <v>1176.76</v>
      </c>
      <c r="H11" s="297"/>
      <c r="I11" s="287"/>
      <c r="J11" s="420"/>
      <c r="K11" s="421"/>
    </row>
    <row r="12" spans="1:11" s="288" customFormat="1">
      <c r="A12" s="288" t="s">
        <v>182</v>
      </c>
      <c r="B12" s="297" t="s">
        <v>17</v>
      </c>
      <c r="C12" s="287"/>
      <c r="D12" s="420">
        <v>2.7431999999999999</v>
      </c>
      <c r="E12" s="421">
        <v>1176.76</v>
      </c>
      <c r="H12" s="297"/>
      <c r="I12" s="287"/>
      <c r="J12" s="420"/>
      <c r="K12" s="421"/>
    </row>
    <row r="13" spans="1:11" s="288" customFormat="1">
      <c r="A13" s="288" t="s">
        <v>181</v>
      </c>
      <c r="B13" s="297" t="s">
        <v>155</v>
      </c>
      <c r="C13" s="299"/>
      <c r="D13" s="393">
        <v>6.6585000000000001</v>
      </c>
      <c r="E13" s="392">
        <v>1176.76</v>
      </c>
      <c r="G13" s="347"/>
      <c r="H13" s="346"/>
      <c r="I13" s="345"/>
      <c r="J13" s="420"/>
      <c r="K13" s="421"/>
    </row>
    <row r="14" spans="1:11" s="288" customFormat="1">
      <c r="A14" s="288" t="s">
        <v>180</v>
      </c>
      <c r="B14" s="297" t="s">
        <v>1</v>
      </c>
      <c r="C14" s="299"/>
      <c r="D14" s="420">
        <v>2.6602000000000001</v>
      </c>
      <c r="E14" s="421">
        <v>1176.76</v>
      </c>
      <c r="H14" s="297"/>
      <c r="I14" s="287"/>
      <c r="J14" s="420"/>
      <c r="K14" s="421"/>
    </row>
    <row r="15" spans="1:11" s="288" customFormat="1">
      <c r="A15" s="288" t="s">
        <v>174</v>
      </c>
      <c r="B15" s="297" t="s">
        <v>11</v>
      </c>
      <c r="C15" s="299"/>
      <c r="D15" s="393">
        <v>2.7759999999999998</v>
      </c>
      <c r="E15" s="392">
        <v>1176.76</v>
      </c>
      <c r="H15" s="297"/>
      <c r="I15" s="287"/>
      <c r="J15" s="420"/>
      <c r="K15" s="421"/>
    </row>
    <row r="16" spans="1:11" s="288" customFormat="1">
      <c r="A16" s="288" t="s">
        <v>179</v>
      </c>
      <c r="B16" s="297" t="s">
        <v>152</v>
      </c>
      <c r="C16" s="299"/>
      <c r="D16" s="393">
        <v>3.5036</v>
      </c>
      <c r="E16" s="392">
        <v>1176.76</v>
      </c>
      <c r="H16" s="297"/>
      <c r="I16" s="299"/>
      <c r="J16" s="420"/>
      <c r="K16" s="421"/>
    </row>
    <row r="17" spans="1:11" s="288" customFormat="1">
      <c r="A17" s="288" t="s">
        <v>172</v>
      </c>
      <c r="B17" s="297" t="s">
        <v>7</v>
      </c>
      <c r="C17" s="299"/>
      <c r="D17" s="393">
        <v>5.5380000000000003</v>
      </c>
      <c r="E17" s="392">
        <v>1176.76</v>
      </c>
      <c r="H17" s="297"/>
      <c r="I17" s="287"/>
      <c r="J17" s="420"/>
      <c r="K17" s="421"/>
    </row>
    <row r="18" spans="1:11" s="288" customFormat="1">
      <c r="A18" s="288" t="s">
        <v>178</v>
      </c>
      <c r="B18" s="297" t="s">
        <v>154</v>
      </c>
      <c r="C18" s="299"/>
      <c r="D18" s="393">
        <v>5.4455</v>
      </c>
      <c r="E18" s="392">
        <v>1176.76</v>
      </c>
      <c r="G18" s="347"/>
      <c r="H18" s="346"/>
      <c r="I18" s="345"/>
      <c r="J18" s="420"/>
      <c r="K18" s="421"/>
    </row>
    <row r="19" spans="1:11" s="288" customFormat="1">
      <c r="A19" s="288" t="s">
        <v>177</v>
      </c>
      <c r="B19" s="297" t="s">
        <v>151</v>
      </c>
      <c r="C19" s="299"/>
      <c r="D19" s="393">
        <v>5.8780999999999999</v>
      </c>
      <c r="E19" s="392">
        <v>1176.76</v>
      </c>
      <c r="G19" s="347"/>
      <c r="H19" s="346"/>
      <c r="I19" s="345"/>
      <c r="J19" s="420"/>
      <c r="K19" s="421"/>
    </row>
    <row r="20" spans="1:11" s="288" customFormat="1">
      <c r="A20" s="288" t="s">
        <v>176</v>
      </c>
      <c r="B20" s="297" t="s">
        <v>42</v>
      </c>
      <c r="C20" s="299"/>
      <c r="D20" s="393">
        <v>5.2249999999999996</v>
      </c>
      <c r="E20" s="392">
        <v>2036.97</v>
      </c>
      <c r="H20" s="297"/>
      <c r="I20" s="287"/>
      <c r="J20" s="420"/>
      <c r="K20" s="421"/>
    </row>
    <row r="21" spans="1:11" s="288" customFormat="1">
      <c r="A21" s="288" t="s">
        <v>175</v>
      </c>
      <c r="B21" s="297" t="s">
        <v>105</v>
      </c>
      <c r="C21" s="299"/>
      <c r="D21" s="420">
        <v>3.0129999999999999</v>
      </c>
      <c r="E21" s="421">
        <v>1176.76</v>
      </c>
      <c r="H21" s="297"/>
      <c r="I21" s="287"/>
      <c r="J21" s="420"/>
      <c r="K21" s="421"/>
    </row>
    <row r="22" spans="1:11" s="288" customFormat="1">
      <c r="B22" s="297"/>
      <c r="C22" s="287"/>
      <c r="D22" s="393">
        <v>0</v>
      </c>
      <c r="E22" s="392">
        <v>0</v>
      </c>
      <c r="H22" s="297"/>
      <c r="I22" s="287"/>
      <c r="J22" s="420"/>
      <c r="K22" s="421"/>
    </row>
    <row r="23" spans="1:11" s="288" customFormat="1">
      <c r="A23" s="288" t="s">
        <v>174</v>
      </c>
      <c r="B23" s="297" t="s">
        <v>44</v>
      </c>
      <c r="C23" s="287"/>
      <c r="D23" s="393">
        <v>5.0339999999999998</v>
      </c>
      <c r="E23" s="392">
        <v>2036.97</v>
      </c>
      <c r="H23" s="297"/>
      <c r="I23" s="287"/>
      <c r="J23" s="420"/>
      <c r="K23" s="421"/>
    </row>
    <row r="24" spans="1:11" s="288" customFormat="1">
      <c r="A24" s="288" t="s">
        <v>167</v>
      </c>
      <c r="B24" s="297" t="s">
        <v>55</v>
      </c>
      <c r="C24" s="287"/>
      <c r="D24" s="393">
        <v>5.3773</v>
      </c>
      <c r="E24" s="392">
        <v>2036.97</v>
      </c>
      <c r="H24" s="297"/>
      <c r="I24" s="287"/>
      <c r="J24" s="420"/>
      <c r="K24" s="421"/>
    </row>
    <row r="25" spans="1:11" s="288" customFormat="1">
      <c r="A25" s="288" t="s">
        <v>173</v>
      </c>
      <c r="B25" s="297" t="s">
        <v>150</v>
      </c>
      <c r="C25" s="287"/>
      <c r="D25" s="393">
        <v>6.1231999999999998</v>
      </c>
      <c r="E25" s="392">
        <v>2036.97</v>
      </c>
      <c r="H25" s="297"/>
      <c r="I25" s="287"/>
      <c r="J25" s="420"/>
      <c r="K25" s="421"/>
    </row>
    <row r="26" spans="1:11" s="288" customFormat="1">
      <c r="A26" s="288" t="s">
        <v>172</v>
      </c>
      <c r="B26" s="297" t="s">
        <v>50</v>
      </c>
      <c r="C26" s="287"/>
      <c r="D26" s="420">
        <v>4.9462000000000002</v>
      </c>
      <c r="E26" s="421">
        <v>2036.97</v>
      </c>
      <c r="H26" s="297"/>
      <c r="I26" s="287"/>
      <c r="J26" s="420"/>
      <c r="K26" s="421"/>
    </row>
    <row r="27" spans="1:11" s="288" customFormat="1">
      <c r="A27" s="288" t="s">
        <v>171</v>
      </c>
      <c r="B27" s="288" t="s">
        <v>46</v>
      </c>
      <c r="D27" s="393">
        <v>5.3775000000000004</v>
      </c>
      <c r="E27" s="392">
        <v>2036.97</v>
      </c>
      <c r="J27" s="420"/>
      <c r="K27" s="421"/>
    </row>
    <row r="28" spans="1:11" s="288" customFormat="1">
      <c r="A28" s="288" t="s">
        <v>170</v>
      </c>
      <c r="B28" s="297" t="s">
        <v>52</v>
      </c>
      <c r="C28" s="287"/>
      <c r="D28" s="393">
        <v>5.5368000000000004</v>
      </c>
      <c r="E28" s="392">
        <v>2036.78</v>
      </c>
      <c r="H28" s="297"/>
      <c r="I28" s="287"/>
      <c r="J28" s="420"/>
      <c r="K28" s="421"/>
    </row>
    <row r="29" spans="1:11" s="288" customFormat="1">
      <c r="A29" s="288" t="s">
        <v>191</v>
      </c>
      <c r="B29" s="297" t="s">
        <v>149</v>
      </c>
      <c r="C29" s="287"/>
      <c r="D29" s="393">
        <v>4.4687000000000001</v>
      </c>
      <c r="E29" s="392">
        <v>4119.08</v>
      </c>
      <c r="H29" s="297"/>
      <c r="I29" s="287"/>
      <c r="J29" s="420"/>
      <c r="K29" s="421"/>
    </row>
    <row r="30" spans="1:11" s="288" customFormat="1">
      <c r="A30" s="288" t="s">
        <v>171</v>
      </c>
      <c r="B30" s="297" t="s">
        <v>141</v>
      </c>
      <c r="C30" s="287"/>
      <c r="D30" s="393">
        <v>4.0838000000000001</v>
      </c>
      <c r="E30" s="392">
        <v>4119.08</v>
      </c>
      <c r="H30" s="297"/>
      <c r="I30" s="287"/>
      <c r="J30" s="420"/>
      <c r="K30" s="421"/>
    </row>
    <row r="31" spans="1:11" s="288" customFormat="1">
      <c r="A31" s="288" t="s">
        <v>169</v>
      </c>
      <c r="B31" s="297" t="s">
        <v>112</v>
      </c>
      <c r="C31" s="287"/>
      <c r="D31" s="393">
        <v>5.7851999999999997</v>
      </c>
      <c r="E31" s="392">
        <v>1176.76</v>
      </c>
      <c r="H31" s="297"/>
      <c r="I31" s="287"/>
      <c r="J31" s="420"/>
      <c r="K31" s="421"/>
    </row>
    <row r="32" spans="1:11" s="288" customFormat="1">
      <c r="A32" s="288" t="s">
        <v>168</v>
      </c>
      <c r="B32" s="297" t="s">
        <v>111</v>
      </c>
      <c r="C32" s="287"/>
      <c r="D32" s="393">
        <v>5.8160999999999996</v>
      </c>
      <c r="E32" s="392">
        <v>2036.97</v>
      </c>
      <c r="H32" s="297"/>
      <c r="I32" s="287"/>
      <c r="J32" s="420"/>
      <c r="K32" s="421"/>
    </row>
    <row r="33" spans="1:11" s="288" customFormat="1">
      <c r="A33" s="288" t="s">
        <v>167</v>
      </c>
      <c r="B33" s="297" t="s">
        <v>55</v>
      </c>
      <c r="C33" s="287"/>
      <c r="D33" s="393">
        <v>5.3773</v>
      </c>
      <c r="E33" s="392">
        <v>2036.97</v>
      </c>
      <c r="H33" s="297"/>
      <c r="I33" s="287"/>
      <c r="J33" s="420"/>
      <c r="K33" s="421"/>
    </row>
    <row r="34" spans="1:11" s="288" customFormat="1">
      <c r="A34" s="288" t="s">
        <v>166</v>
      </c>
      <c r="B34" s="288" t="s">
        <v>107</v>
      </c>
      <c r="C34" s="287"/>
      <c r="D34" s="393">
        <v>13.2662</v>
      </c>
      <c r="E34" s="392">
        <v>2036.97</v>
      </c>
      <c r="H34" s="297"/>
      <c r="I34" s="287"/>
      <c r="J34" s="420"/>
      <c r="K34" s="421"/>
    </row>
    <row r="35" spans="1:11" s="288" customFormat="1">
      <c r="C35" s="287"/>
      <c r="D35" s="289"/>
      <c r="E35" s="337"/>
      <c r="I35" s="287"/>
      <c r="J35" s="420"/>
      <c r="K35" s="421"/>
    </row>
    <row r="36" spans="1:11" s="288" customFormat="1">
      <c r="C36" s="287"/>
      <c r="D36" s="293"/>
      <c r="E36" s="292"/>
      <c r="H36"/>
      <c r="I36"/>
      <c r="J36"/>
      <c r="K36"/>
    </row>
    <row r="37" spans="1:11" s="288" customFormat="1">
      <c r="C37" s="287"/>
      <c r="D37" s="289"/>
      <c r="E37" s="337"/>
      <c r="H37"/>
      <c r="I37"/>
      <c r="J37"/>
      <c r="K37"/>
    </row>
    <row r="38" spans="1:11" s="288" customFormat="1">
      <c r="C38" s="287"/>
      <c r="D38" s="289"/>
      <c r="E38" s="337"/>
      <c r="H38"/>
      <c r="I38"/>
      <c r="J38"/>
      <c r="K38"/>
    </row>
    <row r="39" spans="1:11" s="288" customFormat="1">
      <c r="C39" s="287"/>
      <c r="D39" s="289"/>
      <c r="E39" s="337"/>
      <c r="H39"/>
      <c r="I39"/>
      <c r="J39"/>
      <c r="K39"/>
    </row>
    <row r="40" spans="1:11" s="288" customFormat="1">
      <c r="C40" s="287"/>
      <c r="D40" s="289"/>
      <c r="E40" s="337"/>
      <c r="H40"/>
      <c r="I40"/>
      <c r="J40"/>
      <c r="K40"/>
    </row>
    <row r="41" spans="1:11" s="288" customFormat="1">
      <c r="C41" s="287"/>
      <c r="D41" s="289"/>
      <c r="E41" s="337"/>
      <c r="H41"/>
      <c r="I41"/>
      <c r="J41"/>
      <c r="K41"/>
    </row>
    <row r="42" spans="1:11" s="288" customFormat="1">
      <c r="C42" s="287"/>
      <c r="D42" s="289"/>
      <c r="E42" s="337"/>
      <c r="H42"/>
      <c r="I42"/>
      <c r="J42"/>
      <c r="K42"/>
    </row>
    <row r="43" spans="1:11" s="288" customFormat="1">
      <c r="C43" s="287"/>
      <c r="D43" s="289"/>
      <c r="E43" s="337"/>
      <c r="H43"/>
      <c r="I43"/>
      <c r="J43"/>
      <c r="K43"/>
    </row>
    <row r="44" spans="1:11" s="288" customFormat="1">
      <c r="C44" s="287"/>
      <c r="D44" s="289"/>
      <c r="E44" s="337"/>
      <c r="H44"/>
      <c r="I44"/>
      <c r="J44"/>
      <c r="K44"/>
    </row>
    <row r="45" spans="1:11" s="288" customFormat="1">
      <c r="C45" s="287"/>
      <c r="D45" s="289"/>
      <c r="E45" s="337"/>
    </row>
    <row r="46" spans="1:11" s="288" customFormat="1">
      <c r="C46" s="287"/>
      <c r="D46" s="289"/>
      <c r="E46" s="337"/>
    </row>
    <row r="47" spans="1:11" s="288" customFormat="1">
      <c r="C47" s="287"/>
      <c r="D47" s="289"/>
      <c r="E47" s="337"/>
    </row>
    <row r="48" spans="1:11" s="288" customFormat="1">
      <c r="C48" s="287"/>
      <c r="D48" s="289"/>
      <c r="E48" s="337"/>
    </row>
    <row r="49" spans="3:10" s="288" customFormat="1">
      <c r="C49" s="287"/>
      <c r="D49" s="289"/>
      <c r="E49" s="337"/>
    </row>
    <row r="50" spans="3:10" s="288" customFormat="1">
      <c r="C50" s="287"/>
      <c r="D50" s="289"/>
      <c r="E50" s="337"/>
    </row>
    <row r="51" spans="3:10" s="288" customFormat="1">
      <c r="C51" s="287"/>
      <c r="D51" s="289"/>
      <c r="E51" s="337"/>
    </row>
    <row r="52" spans="3:10" s="288" customFormat="1">
      <c r="C52" s="287"/>
      <c r="D52" s="289"/>
      <c r="E52" s="337"/>
    </row>
    <row r="53" spans="3:10" s="288" customFormat="1">
      <c r="C53" s="287"/>
      <c r="D53" s="289"/>
      <c r="E53" s="337"/>
    </row>
    <row r="54" spans="3:10" s="288" customFormat="1">
      <c r="C54" s="287"/>
      <c r="D54" s="289"/>
      <c r="E54" s="337"/>
    </row>
    <row r="55" spans="3:10" s="288" customFormat="1">
      <c r="C55" s="287"/>
      <c r="D55" s="289"/>
      <c r="E55" s="337"/>
    </row>
    <row r="56" spans="3:10" s="288" customFormat="1">
      <c r="C56" s="287"/>
      <c r="D56" s="289"/>
      <c r="E56" s="337"/>
    </row>
    <row r="57" spans="3:10" s="288" customFormat="1">
      <c r="C57" s="287"/>
      <c r="D57" s="289"/>
      <c r="E57" s="337"/>
    </row>
    <row r="58" spans="3:10" s="288" customFormat="1">
      <c r="C58" s="287"/>
      <c r="D58" s="289"/>
      <c r="E58" s="337"/>
    </row>
    <row r="59" spans="3:10" s="288" customFormat="1">
      <c r="C59" s="287"/>
      <c r="D59" s="289"/>
      <c r="E59" s="337"/>
    </row>
    <row r="60" spans="3:10" s="288" customFormat="1">
      <c r="C60" s="287"/>
      <c r="D60" s="289"/>
      <c r="E60" s="337"/>
    </row>
    <row r="61" spans="3:10" s="288" customFormat="1">
      <c r="C61" s="287"/>
      <c r="D61" s="289"/>
      <c r="E61" s="337"/>
    </row>
    <row r="62" spans="3:10" s="288" customFormat="1">
      <c r="C62" s="287"/>
      <c r="D62" s="289"/>
      <c r="E62" s="337"/>
    </row>
    <row r="63" spans="3:10" s="288" customFormat="1">
      <c r="C63" s="287"/>
      <c r="D63" s="289"/>
      <c r="E63" s="337"/>
      <c r="H63" s="291"/>
      <c r="J63" s="290"/>
    </row>
    <row r="64" spans="3:10" s="288" customFormat="1">
      <c r="C64" s="287"/>
      <c r="D64" s="289"/>
      <c r="E64" s="337"/>
    </row>
    <row r="65" spans="3:5" s="288" customFormat="1">
      <c r="C65" s="287"/>
      <c r="D65" s="289"/>
      <c r="E65" s="337"/>
    </row>
    <row r="66" spans="3:5" s="288" customFormat="1">
      <c r="C66" s="287"/>
      <c r="D66" s="289"/>
      <c r="E66" s="337"/>
    </row>
    <row r="67" spans="3:5" s="288" customFormat="1">
      <c r="C67" s="287"/>
      <c r="D67" s="289"/>
      <c r="E67" s="337"/>
    </row>
    <row r="68" spans="3:5" s="288" customFormat="1">
      <c r="C68" s="287"/>
      <c r="D68" s="289"/>
      <c r="E68" s="337"/>
    </row>
    <row r="69" spans="3:5" s="288" customFormat="1">
      <c r="C69" s="287"/>
      <c r="D69" s="289"/>
      <c r="E69" s="337"/>
    </row>
    <row r="70" spans="3:5" s="288" customFormat="1">
      <c r="C70" s="287"/>
      <c r="D70" s="289"/>
      <c r="E70" s="337"/>
    </row>
    <row r="71" spans="3:5" s="288" customFormat="1">
      <c r="C71" s="287"/>
      <c r="D71" s="289"/>
      <c r="E71" s="337"/>
    </row>
    <row r="72" spans="3:5" s="288" customFormat="1">
      <c r="C72" s="287"/>
      <c r="D72" s="289"/>
      <c r="E72" s="337"/>
    </row>
    <row r="73" spans="3:5" s="288" customFormat="1">
      <c r="C73" s="287"/>
      <c r="D73" s="289"/>
      <c r="E73" s="337"/>
    </row>
    <row r="74" spans="3:5" s="288" customFormat="1">
      <c r="C74" s="287"/>
      <c r="D74" s="289"/>
      <c r="E74" s="337"/>
    </row>
    <row r="75" spans="3:5" s="288" customFormat="1">
      <c r="C75" s="287"/>
      <c r="D75" s="289"/>
      <c r="E75" s="337"/>
    </row>
    <row r="76" spans="3:5" s="288" customFormat="1">
      <c r="C76" s="287"/>
      <c r="D76" s="289"/>
      <c r="E76" s="337"/>
    </row>
    <row r="77" spans="3:5" s="288" customFormat="1">
      <c r="C77" s="287"/>
      <c r="D77" s="289"/>
      <c r="E77" s="337"/>
    </row>
    <row r="78" spans="3:5" s="288" customFormat="1">
      <c r="C78" s="287"/>
      <c r="D78" s="289"/>
      <c r="E78" s="337"/>
    </row>
    <row r="79" spans="3:5" s="288" customFormat="1">
      <c r="C79" s="287"/>
      <c r="D79" s="289"/>
      <c r="E79" s="337"/>
    </row>
    <row r="80" spans="3:5" s="288" customFormat="1">
      <c r="C80" s="287"/>
      <c r="D80" s="289"/>
      <c r="E80" s="337"/>
    </row>
    <row r="81" spans="3:5" s="288" customFormat="1">
      <c r="C81" s="287"/>
      <c r="D81" s="289"/>
      <c r="E81" s="337"/>
    </row>
    <row r="82" spans="3:5" s="288" customFormat="1">
      <c r="C82" s="287"/>
      <c r="D82" s="289"/>
      <c r="E82" s="337"/>
    </row>
    <row r="83" spans="3:5" s="288" customFormat="1">
      <c r="C83" s="287"/>
      <c r="D83" s="289"/>
      <c r="E83" s="337"/>
    </row>
    <row r="84" spans="3:5" s="288" customFormat="1">
      <c r="C84" s="287"/>
      <c r="D84" s="289"/>
      <c r="E84" s="337"/>
    </row>
    <row r="85" spans="3:5" s="288" customFormat="1">
      <c r="C85" s="287"/>
      <c r="D85" s="289"/>
      <c r="E85" s="337"/>
    </row>
    <row r="86" spans="3:5" s="288" customFormat="1">
      <c r="C86" s="287"/>
      <c r="D86" s="289"/>
      <c r="E86" s="337"/>
    </row>
    <row r="87" spans="3:5" s="288" customFormat="1">
      <c r="C87" s="287"/>
      <c r="D87" s="289"/>
      <c r="E87" s="337"/>
    </row>
    <row r="88" spans="3:5" s="288" customFormat="1">
      <c r="C88" s="287"/>
      <c r="D88" s="289"/>
      <c r="E88" s="337"/>
    </row>
    <row r="89" spans="3:5" s="288" customFormat="1">
      <c r="C89" s="287"/>
      <c r="D89" s="289"/>
      <c r="E89" s="337"/>
    </row>
    <row r="90" spans="3:5" s="288" customFormat="1">
      <c r="C90" s="287"/>
      <c r="D90" s="289"/>
      <c r="E90" s="337"/>
    </row>
    <row r="91" spans="3:5" s="288" customFormat="1">
      <c r="C91" s="287"/>
      <c r="D91" s="289"/>
      <c r="E91" s="337"/>
    </row>
    <row r="92" spans="3:5" s="288" customFormat="1">
      <c r="C92" s="287"/>
      <c r="D92" s="289"/>
      <c r="E92" s="337"/>
    </row>
    <row r="93" spans="3:5" s="288" customFormat="1">
      <c r="C93" s="287"/>
      <c r="D93" s="289"/>
      <c r="E93" s="337"/>
    </row>
    <row r="94" spans="3:5" s="288" customFormat="1">
      <c r="C94" s="287"/>
      <c r="D94" s="289"/>
      <c r="E94" s="337"/>
    </row>
    <row r="95" spans="3:5" s="288" customFormat="1">
      <c r="C95" s="287"/>
      <c r="D95" s="289"/>
      <c r="E95" s="337"/>
    </row>
    <row r="96" spans="3:5" s="288" customFormat="1">
      <c r="C96" s="287"/>
      <c r="D96" s="289"/>
      <c r="E96" s="337"/>
    </row>
    <row r="97" spans="3:5" s="288" customFormat="1">
      <c r="C97" s="287"/>
      <c r="D97" s="289"/>
      <c r="E97" s="337"/>
    </row>
    <row r="98" spans="3:5" s="288" customFormat="1">
      <c r="C98" s="287"/>
      <c r="D98" s="289"/>
      <c r="E98" s="337"/>
    </row>
    <row r="99" spans="3:5" s="288" customFormat="1">
      <c r="C99" s="287"/>
      <c r="D99" s="289"/>
      <c r="E99" s="337"/>
    </row>
    <row r="100" spans="3:5" s="288" customFormat="1">
      <c r="C100" s="287"/>
      <c r="D100" s="289"/>
      <c r="E100" s="337"/>
    </row>
    <row r="101" spans="3:5" s="288" customFormat="1">
      <c r="C101" s="287"/>
      <c r="D101" s="289"/>
      <c r="E101" s="337"/>
    </row>
    <row r="102" spans="3:5" s="288" customFormat="1">
      <c r="C102" s="287"/>
      <c r="D102" s="289"/>
      <c r="E102" s="337"/>
    </row>
    <row r="103" spans="3:5" s="288" customFormat="1">
      <c r="C103" s="287"/>
      <c r="D103" s="289"/>
      <c r="E103" s="337"/>
    </row>
    <row r="104" spans="3:5" s="288" customFormat="1">
      <c r="C104" s="287"/>
      <c r="D104" s="289"/>
      <c r="E104" s="337"/>
    </row>
    <row r="105" spans="3:5" s="288" customFormat="1">
      <c r="C105" s="287"/>
      <c r="D105" s="289"/>
      <c r="E105" s="337"/>
    </row>
    <row r="106" spans="3:5" s="288" customFormat="1">
      <c r="C106" s="287"/>
      <c r="D106" s="289"/>
      <c r="E106" s="337"/>
    </row>
    <row r="107" spans="3:5" s="288" customFormat="1">
      <c r="C107" s="287"/>
      <c r="D107" s="289"/>
      <c r="E107" s="337"/>
    </row>
    <row r="108" spans="3:5" s="288" customFormat="1">
      <c r="C108" s="287"/>
      <c r="D108" s="289"/>
      <c r="E108" s="337"/>
    </row>
    <row r="109" spans="3:5" s="288" customFormat="1">
      <c r="C109" s="287"/>
      <c r="D109" s="289"/>
      <c r="E109" s="337"/>
    </row>
    <row r="110" spans="3:5" s="288" customFormat="1">
      <c r="C110" s="287"/>
      <c r="D110" s="289"/>
      <c r="E110" s="337"/>
    </row>
    <row r="111" spans="3:5" s="288" customFormat="1">
      <c r="C111" s="287"/>
      <c r="D111" s="289"/>
      <c r="E111" s="337"/>
    </row>
    <row r="112" spans="3:5" s="288" customFormat="1">
      <c r="C112" s="287"/>
      <c r="D112" s="289"/>
      <c r="E112" s="337"/>
    </row>
    <row r="113" spans="3:5" s="288" customFormat="1">
      <c r="C113" s="287"/>
      <c r="D113" s="289"/>
      <c r="E113" s="337"/>
    </row>
    <row r="114" spans="3:5" s="288" customFormat="1">
      <c r="C114" s="287"/>
      <c r="D114" s="289"/>
      <c r="E114" s="337"/>
    </row>
    <row r="115" spans="3:5" s="288" customFormat="1">
      <c r="C115" s="287"/>
      <c r="D115" s="289"/>
      <c r="E115" s="337"/>
    </row>
    <row r="116" spans="3:5" s="288" customFormat="1">
      <c r="C116" s="287"/>
      <c r="D116" s="289"/>
      <c r="E116" s="337"/>
    </row>
    <row r="117" spans="3:5" s="288" customFormat="1">
      <c r="C117" s="287"/>
      <c r="D117" s="289"/>
      <c r="E117" s="337"/>
    </row>
    <row r="118" spans="3:5" s="288" customFormat="1">
      <c r="C118" s="287"/>
      <c r="D118" s="289"/>
      <c r="E118" s="337"/>
    </row>
    <row r="119" spans="3:5" s="288" customFormat="1">
      <c r="C119" s="287"/>
      <c r="D119" s="289"/>
      <c r="E119" s="337"/>
    </row>
    <row r="120" spans="3:5" s="288" customFormat="1">
      <c r="C120" s="287"/>
      <c r="D120" s="289"/>
      <c r="E120" s="337"/>
    </row>
    <row r="121" spans="3:5" s="288" customFormat="1">
      <c r="C121" s="287"/>
      <c r="D121" s="289"/>
      <c r="E121" s="337"/>
    </row>
    <row r="122" spans="3:5" s="288" customFormat="1">
      <c r="C122" s="287"/>
      <c r="D122" s="289"/>
      <c r="E122" s="337"/>
    </row>
    <row r="123" spans="3:5" s="288" customFormat="1">
      <c r="C123" s="287"/>
      <c r="D123" s="289"/>
      <c r="E123" s="337"/>
    </row>
    <row r="124" spans="3:5" s="288" customFormat="1">
      <c r="C124" s="287"/>
      <c r="D124" s="289"/>
      <c r="E124" s="337"/>
    </row>
    <row r="125" spans="3:5" s="288" customFormat="1">
      <c r="C125" s="287"/>
      <c r="D125" s="289"/>
      <c r="E125" s="337"/>
    </row>
    <row r="126" spans="3:5" s="288" customFormat="1">
      <c r="C126" s="287"/>
      <c r="D126" s="289"/>
      <c r="E126" s="337"/>
    </row>
    <row r="127" spans="3:5" s="288" customFormat="1">
      <c r="C127" s="287"/>
      <c r="D127" s="289"/>
      <c r="E127" s="337"/>
    </row>
  </sheetData>
  <sheetProtection password="F4F5" sheet="1" objects="1" scenarios="1" selectLockedCells="1" selectUnlockedCells="1"/>
  <mergeCells count="1">
    <mergeCell ref="D4:E4"/>
  </mergeCells>
  <printOptions horizontalCentered="1" verticalCentered="1"/>
  <pageMargins left="0.75" right="0.75" top="1" bottom="1" header="0" footer="0"/>
  <pageSetup orientation="landscape" r:id="rId1"/>
  <headerFooter alignWithMargins="0"/>
</worksheet>
</file>

<file path=xl/worksheets/sheet24.xml><?xml version="1.0" encoding="utf-8"?>
<worksheet xmlns="http://schemas.openxmlformats.org/spreadsheetml/2006/main" xmlns:r="http://schemas.openxmlformats.org/officeDocument/2006/relationships">
  <sheetPr codeName="Hoja23">
    <pageSetUpPr fitToPage="1"/>
  </sheetPr>
  <dimension ref="A2:L70"/>
  <sheetViews>
    <sheetView topLeftCell="M1" workbookViewId="0">
      <selection activeCell="L1" sqref="A1:L65536"/>
    </sheetView>
  </sheetViews>
  <sheetFormatPr baseColWidth="10" defaultColWidth="9.33203125" defaultRowHeight="12.75"/>
  <cols>
    <col min="1" max="2" width="12" style="306" hidden="1" customWidth="1"/>
    <col min="3" max="3" width="7.6640625" style="306" hidden="1" customWidth="1"/>
    <col min="4" max="12" width="9.33203125" style="306" hidden="1" customWidth="1"/>
    <col min="13" max="16384" width="9.33203125" style="306"/>
  </cols>
  <sheetData>
    <row r="2" spans="1:10" ht="18">
      <c r="A2" s="321" t="s">
        <v>25</v>
      </c>
      <c r="B2" s="320"/>
      <c r="D2" s="316"/>
    </row>
    <row r="3" spans="1:10" ht="18">
      <c r="A3" s="321" t="s">
        <v>26</v>
      </c>
      <c r="B3" s="320"/>
      <c r="D3" s="316"/>
    </row>
    <row r="4" spans="1:10" ht="13.5" thickBot="1">
      <c r="A4" s="319"/>
      <c r="B4" s="318"/>
      <c r="C4" s="317"/>
      <c r="D4" s="317"/>
    </row>
    <row r="5" spans="1:10" ht="13.5" thickTop="1">
      <c r="A5" s="316"/>
      <c r="B5" s="316"/>
      <c r="C5" s="316"/>
    </row>
    <row r="8" spans="1:10">
      <c r="A8" s="315" t="s">
        <v>27</v>
      </c>
      <c r="B8" s="315" t="s">
        <v>28</v>
      </c>
    </row>
    <row r="9" spans="1:10">
      <c r="A9" s="314" t="s">
        <v>29</v>
      </c>
      <c r="B9" s="314" t="s">
        <v>27</v>
      </c>
    </row>
    <row r="10" spans="1:10">
      <c r="A10" s="313"/>
      <c r="B10" s="313"/>
    </row>
    <row r="11" spans="1:10">
      <c r="A11" s="312">
        <v>1</v>
      </c>
      <c r="B11" s="310">
        <v>8.3299999999999999E-2</v>
      </c>
      <c r="C11" s="309"/>
      <c r="D11"/>
      <c r="E11"/>
      <c r="F11"/>
      <c r="G11"/>
      <c r="H11"/>
      <c r="I11"/>
      <c r="J11"/>
    </row>
    <row r="12" spans="1:10">
      <c r="A12" s="312">
        <v>2</v>
      </c>
      <c r="B12" s="310">
        <v>0.16669999999999999</v>
      </c>
      <c r="C12" s="309"/>
      <c r="D12"/>
      <c r="E12"/>
      <c r="F12"/>
      <c r="G12"/>
      <c r="H12"/>
      <c r="I12"/>
      <c r="J12"/>
    </row>
    <row r="13" spans="1:10">
      <c r="A13" s="312">
        <v>3</v>
      </c>
      <c r="B13" s="310">
        <v>0.25</v>
      </c>
      <c r="C13" s="309"/>
      <c r="D13"/>
      <c r="E13"/>
      <c r="F13"/>
      <c r="G13"/>
      <c r="H13"/>
      <c r="I13"/>
      <c r="J13"/>
    </row>
    <row r="14" spans="1:10">
      <c r="A14" s="312">
        <v>4</v>
      </c>
      <c r="B14" s="310">
        <v>0.33329999999999999</v>
      </c>
      <c r="C14" s="309"/>
      <c r="D14"/>
      <c r="E14"/>
      <c r="F14"/>
      <c r="G14"/>
      <c r="H14"/>
      <c r="I14"/>
      <c r="J14"/>
    </row>
    <row r="15" spans="1:10">
      <c r="A15" s="312">
        <v>5</v>
      </c>
      <c r="B15" s="310">
        <v>0.41670000000000001</v>
      </c>
      <c r="C15" s="309"/>
      <c r="D15"/>
      <c r="E15"/>
      <c r="F15"/>
      <c r="G15"/>
      <c r="H15"/>
      <c r="I15"/>
      <c r="J15"/>
    </row>
    <row r="16" spans="1:10">
      <c r="A16" s="312">
        <v>6</v>
      </c>
      <c r="B16" s="310">
        <v>0.5</v>
      </c>
      <c r="C16" s="309"/>
      <c r="D16"/>
      <c r="E16"/>
      <c r="F16"/>
      <c r="G16"/>
      <c r="H16"/>
      <c r="I16"/>
      <c r="J16"/>
    </row>
    <row r="17" spans="1:10">
      <c r="A17" s="312">
        <v>7</v>
      </c>
      <c r="B17" s="310">
        <v>0.58330000000000004</v>
      </c>
      <c r="C17" s="309"/>
      <c r="D17"/>
      <c r="E17"/>
      <c r="F17"/>
      <c r="G17"/>
      <c r="H17"/>
      <c r="I17"/>
      <c r="J17"/>
    </row>
    <row r="18" spans="1:10">
      <c r="A18" s="312">
        <v>8</v>
      </c>
      <c r="B18" s="310">
        <v>0.66669999999999996</v>
      </c>
      <c r="C18" s="309"/>
      <c r="D18"/>
      <c r="E18"/>
      <c r="F18"/>
      <c r="G18"/>
      <c r="H18"/>
      <c r="I18"/>
      <c r="J18"/>
    </row>
    <row r="19" spans="1:10">
      <c r="A19" s="312">
        <v>9</v>
      </c>
      <c r="B19" s="310">
        <v>0.75</v>
      </c>
      <c r="C19" s="309"/>
      <c r="D19"/>
      <c r="E19"/>
      <c r="F19"/>
      <c r="G19"/>
      <c r="H19"/>
      <c r="I19"/>
      <c r="J19"/>
    </row>
    <row r="20" spans="1:10">
      <c r="A20" s="312">
        <v>10</v>
      </c>
      <c r="B20" s="310">
        <v>0.83330000000000004</v>
      </c>
      <c r="C20" s="309"/>
      <c r="D20"/>
      <c r="E20"/>
      <c r="F20"/>
      <c r="G20"/>
      <c r="H20"/>
      <c r="I20"/>
      <c r="J20"/>
    </row>
    <row r="21" spans="1:10">
      <c r="A21" s="312">
        <v>11</v>
      </c>
      <c r="B21" s="310">
        <v>0.91669999999999996</v>
      </c>
      <c r="C21" s="309"/>
      <c r="D21"/>
      <c r="E21"/>
      <c r="F21"/>
      <c r="G21"/>
      <c r="H21"/>
      <c r="I21"/>
      <c r="J21"/>
    </row>
    <row r="22" spans="1:10">
      <c r="A22" s="311">
        <v>12</v>
      </c>
      <c r="B22" s="310">
        <v>1</v>
      </c>
      <c r="C22" s="309"/>
      <c r="D22"/>
      <c r="E22"/>
      <c r="F22"/>
      <c r="G22"/>
      <c r="H22"/>
      <c r="I22"/>
      <c r="J22"/>
    </row>
    <row r="23" spans="1:10">
      <c r="A23" s="312">
        <v>13</v>
      </c>
      <c r="B23" s="310">
        <v>1.0832999999999999</v>
      </c>
      <c r="C23" s="309"/>
      <c r="D23"/>
      <c r="E23"/>
      <c r="F23"/>
      <c r="G23"/>
      <c r="H23"/>
      <c r="I23"/>
      <c r="J23"/>
    </row>
    <row r="24" spans="1:10">
      <c r="A24" s="312">
        <v>14</v>
      </c>
      <c r="B24" s="310">
        <v>1.1667000000000001</v>
      </c>
      <c r="C24" s="309"/>
      <c r="D24"/>
      <c r="E24"/>
      <c r="F24"/>
      <c r="G24"/>
      <c r="H24"/>
      <c r="I24"/>
      <c r="J24"/>
    </row>
    <row r="25" spans="1:10">
      <c r="A25" s="312">
        <v>15</v>
      </c>
      <c r="B25" s="310">
        <v>1.25</v>
      </c>
      <c r="C25" s="309"/>
      <c r="D25"/>
      <c r="E25"/>
      <c r="F25"/>
      <c r="G25"/>
      <c r="H25"/>
      <c r="I25"/>
      <c r="J25"/>
    </row>
    <row r="26" spans="1:10">
      <c r="A26" s="312">
        <v>16</v>
      </c>
      <c r="B26" s="310">
        <v>1.3332999999999999</v>
      </c>
      <c r="C26" s="309"/>
      <c r="D26"/>
      <c r="E26"/>
      <c r="F26"/>
      <c r="G26"/>
      <c r="H26"/>
      <c r="I26"/>
      <c r="J26"/>
    </row>
    <row r="27" spans="1:10">
      <c r="A27" s="312">
        <v>17</v>
      </c>
      <c r="B27" s="310">
        <v>1.4167000000000001</v>
      </c>
      <c r="C27" s="309"/>
      <c r="D27"/>
      <c r="E27"/>
      <c r="F27"/>
      <c r="G27"/>
      <c r="H27"/>
      <c r="I27"/>
      <c r="J27"/>
    </row>
    <row r="28" spans="1:10">
      <c r="A28" s="312">
        <v>18</v>
      </c>
      <c r="B28" s="310">
        <v>1.5</v>
      </c>
      <c r="C28" s="309"/>
      <c r="D28"/>
      <c r="E28"/>
      <c r="F28"/>
      <c r="G28"/>
      <c r="H28"/>
      <c r="I28"/>
      <c r="J28"/>
    </row>
    <row r="29" spans="1:10">
      <c r="A29" s="312">
        <v>19</v>
      </c>
      <c r="B29" s="310">
        <v>1.5832999999999999</v>
      </c>
      <c r="C29" s="309"/>
      <c r="D29"/>
      <c r="E29"/>
      <c r="F29"/>
      <c r="G29"/>
      <c r="H29"/>
      <c r="I29"/>
      <c r="J29"/>
    </row>
    <row r="30" spans="1:10">
      <c r="A30" s="312">
        <v>20</v>
      </c>
      <c r="B30" s="310">
        <v>1.6667000000000001</v>
      </c>
      <c r="C30" s="309"/>
      <c r="D30"/>
      <c r="E30"/>
      <c r="F30"/>
      <c r="G30"/>
      <c r="H30"/>
      <c r="I30"/>
      <c r="J30"/>
    </row>
    <row r="31" spans="1:10">
      <c r="A31" s="312">
        <v>21</v>
      </c>
      <c r="B31" s="310">
        <v>1.75</v>
      </c>
      <c r="C31" s="309"/>
      <c r="D31"/>
      <c r="E31"/>
      <c r="F31"/>
      <c r="G31"/>
      <c r="H31"/>
      <c r="I31"/>
      <c r="J31"/>
    </row>
    <row r="32" spans="1:10">
      <c r="A32" s="312">
        <v>22</v>
      </c>
      <c r="B32" s="310">
        <v>1.8332999999999999</v>
      </c>
      <c r="C32" s="309"/>
      <c r="D32"/>
      <c r="E32"/>
      <c r="F32"/>
      <c r="G32"/>
      <c r="H32"/>
      <c r="I32"/>
      <c r="J32"/>
    </row>
    <row r="33" spans="1:10">
      <c r="A33" s="312">
        <v>23</v>
      </c>
      <c r="B33" s="310">
        <v>1.9167000000000001</v>
      </c>
      <c r="C33" s="309"/>
      <c r="D33"/>
      <c r="E33"/>
      <c r="F33"/>
      <c r="G33"/>
      <c r="H33"/>
      <c r="I33"/>
      <c r="J33"/>
    </row>
    <row r="34" spans="1:10">
      <c r="A34" s="311">
        <v>24</v>
      </c>
      <c r="B34" s="310">
        <v>2</v>
      </c>
      <c r="C34" s="309"/>
      <c r="D34"/>
      <c r="E34"/>
      <c r="F34"/>
      <c r="G34"/>
      <c r="H34"/>
      <c r="I34"/>
      <c r="J34"/>
    </row>
    <row r="35" spans="1:10">
      <c r="A35" s="312">
        <v>25</v>
      </c>
      <c r="B35" s="310">
        <v>2.0832999999999999</v>
      </c>
      <c r="C35" s="309"/>
      <c r="D35"/>
      <c r="E35"/>
      <c r="F35"/>
      <c r="G35"/>
      <c r="H35"/>
      <c r="I35"/>
      <c r="J35"/>
    </row>
    <row r="36" spans="1:10">
      <c r="A36" s="312">
        <v>26</v>
      </c>
      <c r="B36" s="310">
        <v>2.1667000000000001</v>
      </c>
      <c r="C36" s="309"/>
      <c r="D36"/>
      <c r="E36"/>
      <c r="F36"/>
      <c r="G36"/>
      <c r="H36"/>
      <c r="I36"/>
      <c r="J36"/>
    </row>
    <row r="37" spans="1:10">
      <c r="A37" s="312">
        <v>27</v>
      </c>
      <c r="B37" s="310">
        <v>2.25</v>
      </c>
      <c r="C37" s="309"/>
      <c r="D37"/>
      <c r="E37"/>
      <c r="F37"/>
      <c r="G37"/>
      <c r="H37"/>
      <c r="I37"/>
      <c r="J37"/>
    </row>
    <row r="38" spans="1:10">
      <c r="A38" s="312">
        <v>28</v>
      </c>
      <c r="B38" s="310">
        <v>2.3332999999999999</v>
      </c>
      <c r="C38" s="309"/>
      <c r="D38"/>
      <c r="E38"/>
      <c r="F38"/>
      <c r="G38"/>
      <c r="H38"/>
      <c r="I38"/>
      <c r="J38"/>
    </row>
    <row r="39" spans="1:10">
      <c r="A39" s="312">
        <v>29</v>
      </c>
      <c r="B39" s="310">
        <v>2.4167000000000001</v>
      </c>
      <c r="C39" s="309"/>
      <c r="D39"/>
      <c r="E39"/>
      <c r="F39"/>
      <c r="G39"/>
      <c r="H39"/>
      <c r="I39"/>
      <c r="J39"/>
    </row>
    <row r="40" spans="1:10">
      <c r="A40" s="312">
        <v>30</v>
      </c>
      <c r="B40" s="310">
        <v>2.5</v>
      </c>
      <c r="C40" s="309"/>
      <c r="D40"/>
      <c r="E40"/>
      <c r="F40"/>
      <c r="G40"/>
      <c r="H40"/>
      <c r="I40"/>
      <c r="J40"/>
    </row>
    <row r="41" spans="1:10">
      <c r="A41" s="312">
        <v>31</v>
      </c>
      <c r="B41" s="310">
        <v>2.5832999999999999</v>
      </c>
      <c r="C41" s="309"/>
      <c r="D41"/>
      <c r="E41"/>
      <c r="F41"/>
      <c r="G41"/>
      <c r="H41"/>
      <c r="I41"/>
      <c r="J41"/>
    </row>
    <row r="42" spans="1:10">
      <c r="A42" s="312">
        <v>32</v>
      </c>
      <c r="B42" s="310">
        <v>2.6667000000000001</v>
      </c>
      <c r="C42" s="309"/>
      <c r="D42"/>
      <c r="E42"/>
      <c r="F42"/>
      <c r="G42"/>
      <c r="H42"/>
      <c r="I42"/>
      <c r="J42"/>
    </row>
    <row r="43" spans="1:10">
      <c r="A43" s="312">
        <v>33</v>
      </c>
      <c r="B43" s="310">
        <v>2.75</v>
      </c>
      <c r="C43" s="309"/>
      <c r="D43"/>
      <c r="E43"/>
      <c r="F43"/>
      <c r="G43"/>
      <c r="H43"/>
      <c r="I43"/>
      <c r="J43"/>
    </row>
    <row r="44" spans="1:10">
      <c r="A44" s="312">
        <v>34</v>
      </c>
      <c r="B44" s="310">
        <v>2.8332999999999999</v>
      </c>
      <c r="C44" s="309"/>
      <c r="D44"/>
      <c r="E44"/>
      <c r="F44"/>
      <c r="G44"/>
      <c r="H44"/>
      <c r="I44"/>
      <c r="J44"/>
    </row>
    <row r="45" spans="1:10">
      <c r="A45" s="312">
        <v>35</v>
      </c>
      <c r="B45" s="310">
        <v>2.9167000000000001</v>
      </c>
      <c r="C45" s="309"/>
      <c r="D45"/>
      <c r="E45"/>
      <c r="F45"/>
      <c r="G45"/>
      <c r="H45"/>
      <c r="I45"/>
      <c r="J45"/>
    </row>
    <row r="46" spans="1:10">
      <c r="A46" s="311">
        <v>36</v>
      </c>
      <c r="B46" s="310">
        <v>3</v>
      </c>
      <c r="C46" s="309"/>
      <c r="D46"/>
      <c r="E46"/>
      <c r="F46"/>
      <c r="G46"/>
      <c r="H46"/>
      <c r="I46"/>
      <c r="J46"/>
    </row>
    <row r="47" spans="1:10">
      <c r="A47" s="312">
        <v>37</v>
      </c>
      <c r="B47" s="310">
        <v>3.0832999999999999</v>
      </c>
      <c r="C47" s="309"/>
      <c r="D47"/>
      <c r="E47"/>
      <c r="F47"/>
      <c r="G47"/>
      <c r="H47"/>
      <c r="I47"/>
      <c r="J47"/>
    </row>
    <row r="48" spans="1:10">
      <c r="A48" s="312">
        <v>38</v>
      </c>
      <c r="B48" s="310">
        <v>3.1667000000000001</v>
      </c>
      <c r="C48" s="309"/>
      <c r="D48"/>
      <c r="E48"/>
      <c r="F48"/>
      <c r="G48"/>
      <c r="H48"/>
      <c r="I48"/>
      <c r="J48"/>
    </row>
    <row r="49" spans="1:10">
      <c r="A49" s="312">
        <v>39</v>
      </c>
      <c r="B49" s="310">
        <v>3.25</v>
      </c>
      <c r="C49" s="309"/>
      <c r="D49"/>
      <c r="E49"/>
      <c r="F49"/>
      <c r="G49"/>
      <c r="H49"/>
      <c r="I49"/>
      <c r="J49"/>
    </row>
    <row r="50" spans="1:10">
      <c r="A50" s="312">
        <v>40</v>
      </c>
      <c r="B50" s="310">
        <v>3.3332999999999999</v>
      </c>
      <c r="C50" s="309"/>
      <c r="D50"/>
      <c r="E50"/>
      <c r="F50"/>
      <c r="G50"/>
      <c r="H50"/>
      <c r="I50"/>
      <c r="J50"/>
    </row>
    <row r="51" spans="1:10">
      <c r="A51" s="312">
        <v>41</v>
      </c>
      <c r="B51" s="310">
        <v>3.4167000000000001</v>
      </c>
      <c r="C51" s="309"/>
      <c r="D51"/>
      <c r="E51"/>
      <c r="F51"/>
      <c r="G51"/>
      <c r="H51"/>
      <c r="I51"/>
      <c r="J51"/>
    </row>
    <row r="52" spans="1:10">
      <c r="A52" s="312">
        <v>42</v>
      </c>
      <c r="B52" s="310">
        <v>3.5</v>
      </c>
      <c r="C52" s="309"/>
      <c r="D52"/>
      <c r="E52"/>
      <c r="F52"/>
      <c r="G52"/>
      <c r="H52"/>
      <c r="I52"/>
      <c r="J52"/>
    </row>
    <row r="53" spans="1:10">
      <c r="A53" s="312">
        <v>43</v>
      </c>
      <c r="B53" s="310">
        <v>3.5832999999999999</v>
      </c>
      <c r="C53" s="309"/>
      <c r="D53"/>
      <c r="E53"/>
      <c r="F53"/>
      <c r="G53"/>
      <c r="H53"/>
      <c r="I53"/>
      <c r="J53"/>
    </row>
    <row r="54" spans="1:10">
      <c r="A54" s="312">
        <v>44</v>
      </c>
      <c r="B54" s="310">
        <v>3.6667000000000001</v>
      </c>
      <c r="C54" s="309"/>
      <c r="D54"/>
      <c r="E54"/>
      <c r="F54"/>
      <c r="G54"/>
      <c r="H54"/>
      <c r="I54"/>
      <c r="J54"/>
    </row>
    <row r="55" spans="1:10">
      <c r="A55" s="312">
        <v>45</v>
      </c>
      <c r="B55" s="310">
        <v>3.75</v>
      </c>
      <c r="C55" s="309"/>
      <c r="D55"/>
      <c r="E55"/>
      <c r="F55"/>
      <c r="G55"/>
      <c r="H55"/>
      <c r="I55"/>
      <c r="J55"/>
    </row>
    <row r="56" spans="1:10">
      <c r="A56" s="312">
        <v>46</v>
      </c>
      <c r="B56" s="310">
        <v>3.8332999999999999</v>
      </c>
      <c r="C56" s="309"/>
      <c r="D56"/>
      <c r="E56"/>
      <c r="F56"/>
      <c r="G56"/>
      <c r="H56"/>
      <c r="I56"/>
      <c r="J56"/>
    </row>
    <row r="57" spans="1:10">
      <c r="A57" s="312">
        <v>47</v>
      </c>
      <c r="B57" s="310">
        <v>3.9167000000000001</v>
      </c>
      <c r="C57" s="309"/>
      <c r="D57"/>
      <c r="E57"/>
      <c r="F57"/>
      <c r="G57"/>
      <c r="H57"/>
      <c r="I57"/>
      <c r="J57"/>
    </row>
    <row r="58" spans="1:10">
      <c r="A58" s="311">
        <v>48</v>
      </c>
      <c r="B58" s="310">
        <v>4</v>
      </c>
      <c r="C58" s="309"/>
      <c r="D58"/>
      <c r="E58"/>
      <c r="F58"/>
      <c r="G58"/>
      <c r="H58"/>
      <c r="I58"/>
      <c r="J58"/>
    </row>
    <row r="59" spans="1:10">
      <c r="A59" s="312">
        <v>49</v>
      </c>
      <c r="B59" s="310">
        <v>4.0833000000000004</v>
      </c>
      <c r="C59" s="309"/>
      <c r="D59"/>
      <c r="E59"/>
      <c r="F59"/>
      <c r="G59"/>
      <c r="H59"/>
      <c r="I59"/>
      <c r="J59"/>
    </row>
    <row r="60" spans="1:10">
      <c r="A60" s="312">
        <v>50</v>
      </c>
      <c r="B60" s="310">
        <v>4.1666999999999996</v>
      </c>
      <c r="C60" s="309"/>
      <c r="D60"/>
      <c r="E60"/>
      <c r="F60"/>
      <c r="G60"/>
      <c r="H60"/>
      <c r="I60"/>
      <c r="J60"/>
    </row>
    <row r="61" spans="1:10">
      <c r="A61" s="312">
        <v>51</v>
      </c>
      <c r="B61" s="310">
        <v>4.25</v>
      </c>
      <c r="C61" s="309"/>
      <c r="D61"/>
      <c r="E61"/>
      <c r="F61"/>
      <c r="G61"/>
      <c r="H61"/>
      <c r="I61"/>
      <c r="J61"/>
    </row>
    <row r="62" spans="1:10">
      <c r="A62" s="312">
        <v>52</v>
      </c>
      <c r="B62" s="310">
        <v>4.3333000000000004</v>
      </c>
      <c r="C62" s="309"/>
      <c r="D62"/>
      <c r="E62"/>
      <c r="F62"/>
      <c r="G62"/>
      <c r="H62"/>
      <c r="I62"/>
      <c r="J62"/>
    </row>
    <row r="63" spans="1:10">
      <c r="A63" s="312">
        <v>53</v>
      </c>
      <c r="B63" s="310">
        <v>4.4166999999999996</v>
      </c>
      <c r="C63" s="309"/>
      <c r="D63"/>
      <c r="E63"/>
      <c r="F63"/>
      <c r="G63"/>
      <c r="H63"/>
      <c r="I63"/>
      <c r="J63"/>
    </row>
    <row r="64" spans="1:10">
      <c r="A64" s="312">
        <v>54</v>
      </c>
      <c r="B64" s="310">
        <v>4.5</v>
      </c>
      <c r="C64" s="309"/>
      <c r="D64"/>
      <c r="E64"/>
      <c r="F64"/>
      <c r="G64"/>
      <c r="H64"/>
      <c r="I64"/>
      <c r="J64"/>
    </row>
    <row r="65" spans="1:10">
      <c r="A65" s="312">
        <v>55</v>
      </c>
      <c r="B65" s="310">
        <v>4.5833000000000004</v>
      </c>
      <c r="C65" s="309"/>
      <c r="D65"/>
      <c r="E65"/>
      <c r="F65"/>
      <c r="G65"/>
      <c r="H65"/>
      <c r="I65"/>
      <c r="J65"/>
    </row>
    <row r="66" spans="1:10">
      <c r="A66" s="312">
        <v>56</v>
      </c>
      <c r="B66" s="310">
        <v>4.6666999999999996</v>
      </c>
      <c r="C66" s="309"/>
      <c r="D66"/>
      <c r="E66"/>
      <c r="F66"/>
      <c r="G66"/>
      <c r="H66"/>
      <c r="I66"/>
      <c r="J66"/>
    </row>
    <row r="67" spans="1:10">
      <c r="A67" s="312">
        <v>57</v>
      </c>
      <c r="B67" s="310">
        <v>4.75</v>
      </c>
      <c r="C67" s="309"/>
      <c r="D67"/>
      <c r="E67"/>
      <c r="F67"/>
      <c r="G67"/>
      <c r="H67"/>
      <c r="I67"/>
      <c r="J67"/>
    </row>
    <row r="68" spans="1:10">
      <c r="A68" s="312">
        <v>58</v>
      </c>
      <c r="B68" s="310">
        <v>4.8333000000000004</v>
      </c>
      <c r="C68" s="309"/>
      <c r="D68"/>
      <c r="E68"/>
      <c r="F68"/>
      <c r="G68"/>
      <c r="H68"/>
      <c r="I68"/>
      <c r="J68"/>
    </row>
    <row r="69" spans="1:10">
      <c r="A69" s="312">
        <v>59</v>
      </c>
      <c r="B69" s="310">
        <v>4.9166999999999996</v>
      </c>
      <c r="C69" s="309"/>
      <c r="D69"/>
      <c r="E69"/>
      <c r="F69"/>
      <c r="G69"/>
      <c r="H69"/>
      <c r="I69"/>
      <c r="J69"/>
    </row>
    <row r="70" spans="1:10">
      <c r="A70" s="311">
        <v>60</v>
      </c>
      <c r="B70" s="310">
        <v>5</v>
      </c>
      <c r="C70" s="309"/>
      <c r="D70"/>
      <c r="E70"/>
      <c r="F70"/>
      <c r="G70"/>
      <c r="H70"/>
      <c r="I70"/>
      <c r="J70"/>
    </row>
  </sheetData>
  <sheetProtection password="F4F5" sheet="1" objects="1" scenarios="1" selectLockedCells="1" selectUnlockedCells="1"/>
  <printOptions horizontalCentered="1" verticalCentered="1"/>
  <pageMargins left="0.78740157480314965" right="0.78740157480314965" top="0.98425196850393704" bottom="0.98425196850393704" header="0" footer="0"/>
  <pageSetup scale="8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sheetPr codeName="Hoja24">
    <pageSetUpPr fitToPage="1"/>
  </sheetPr>
  <dimension ref="A4:U81"/>
  <sheetViews>
    <sheetView topLeftCell="N1" workbookViewId="0">
      <selection activeCell="M1" sqref="A1:M65536"/>
    </sheetView>
  </sheetViews>
  <sheetFormatPr baseColWidth="10" defaultColWidth="9.33203125" defaultRowHeight="12.75"/>
  <cols>
    <col min="1" max="1" width="15" style="306" hidden="1" customWidth="1"/>
    <col min="2" max="2" width="16.1640625" style="306" hidden="1" customWidth="1"/>
    <col min="3" max="4" width="12" style="306" hidden="1" customWidth="1"/>
    <col min="5" max="5" width="13" style="306" hidden="1" customWidth="1"/>
    <col min="6" max="6" width="12" style="306" hidden="1" customWidth="1"/>
    <col min="7" max="7" width="5.6640625" style="306" hidden="1" customWidth="1"/>
    <col min="8" max="13" width="9.33203125" style="306" hidden="1" customWidth="1"/>
    <col min="14" max="16384" width="9.33203125" style="306"/>
  </cols>
  <sheetData>
    <row r="4" spans="1:21" ht="23.25">
      <c r="B4" s="1004" t="s">
        <v>30</v>
      </c>
      <c r="C4" s="1004"/>
      <c r="D4" s="1004"/>
      <c r="E4" s="1004"/>
      <c r="F4" s="1004"/>
      <c r="G4" s="1004"/>
    </row>
    <row r="5" spans="1:21" ht="5.25" customHeight="1"/>
    <row r="6" spans="1:21" ht="15.75">
      <c r="B6" s="1005" t="s">
        <v>31</v>
      </c>
      <c r="C6" s="1005"/>
      <c r="D6" s="1005"/>
      <c r="E6" s="1005"/>
      <c r="F6" s="1005"/>
      <c r="G6" s="1005"/>
    </row>
    <row r="7" spans="1:21" s="328" customFormat="1" ht="3.75" customHeight="1"/>
    <row r="8" spans="1:21">
      <c r="A8" s="327"/>
    </row>
    <row r="9" spans="1:21" ht="6.75" customHeight="1"/>
    <row r="10" spans="1:21" ht="18">
      <c r="B10" s="171"/>
      <c r="J10"/>
      <c r="K10"/>
      <c r="L10"/>
      <c r="M10"/>
      <c r="N10"/>
      <c r="O10"/>
      <c r="P10"/>
      <c r="Q10"/>
      <c r="R10"/>
      <c r="S10"/>
      <c r="T10"/>
      <c r="U10"/>
    </row>
    <row r="11" spans="1:21" ht="13.5" thickBot="1">
      <c r="C11" s="1009" t="s">
        <v>98</v>
      </c>
      <c r="D11" s="1009"/>
      <c r="E11" s="1009"/>
      <c r="F11" s="1009"/>
      <c r="J11"/>
      <c r="K11"/>
      <c r="L11"/>
      <c r="M11"/>
      <c r="N11"/>
      <c r="O11"/>
      <c r="P11"/>
      <c r="Q11"/>
      <c r="R11"/>
      <c r="S11"/>
      <c r="T11"/>
      <c r="U11"/>
    </row>
    <row r="12" spans="1:21" ht="13.5" thickTop="1">
      <c r="A12" s="326" t="s">
        <v>34</v>
      </c>
      <c r="B12" s="169" t="s">
        <v>32</v>
      </c>
      <c r="C12" s="168" t="s">
        <v>33</v>
      </c>
      <c r="D12" s="168"/>
      <c r="E12" s="168"/>
      <c r="F12" s="167"/>
      <c r="J12"/>
      <c r="K12"/>
      <c r="L12"/>
      <c r="M12"/>
      <c r="N12"/>
      <c r="O12"/>
      <c r="P12"/>
      <c r="Q12"/>
      <c r="R12"/>
      <c r="S12"/>
      <c r="T12"/>
      <c r="U12"/>
    </row>
    <row r="13" spans="1:21" ht="13.5" thickBot="1">
      <c r="A13" s="325"/>
      <c r="B13" s="165" t="s">
        <v>35</v>
      </c>
      <c r="C13" s="164" t="s">
        <v>36</v>
      </c>
      <c r="D13" s="164" t="s">
        <v>37</v>
      </c>
      <c r="E13" s="164" t="s">
        <v>38</v>
      </c>
      <c r="F13" s="163" t="s">
        <v>39</v>
      </c>
      <c r="J13"/>
      <c r="K13"/>
      <c r="L13"/>
      <c r="M13"/>
      <c r="N13"/>
      <c r="O13"/>
      <c r="P13"/>
      <c r="Q13"/>
      <c r="R13"/>
      <c r="S13"/>
      <c r="T13"/>
      <c r="U13"/>
    </row>
    <row r="14" spans="1:21" ht="13.5" thickTop="1">
      <c r="C14" s="306">
        <v>360</v>
      </c>
      <c r="D14" s="306">
        <v>180</v>
      </c>
      <c r="E14" s="306">
        <v>90</v>
      </c>
      <c r="F14" s="306">
        <v>30</v>
      </c>
      <c r="J14"/>
      <c r="K14"/>
      <c r="L14"/>
      <c r="M14"/>
      <c r="N14"/>
      <c r="O14"/>
      <c r="P14"/>
      <c r="Q14"/>
      <c r="R14"/>
      <c r="S14"/>
      <c r="T14"/>
      <c r="U14"/>
    </row>
    <row r="15" spans="1:21">
      <c r="A15" s="1006">
        <v>0.18</v>
      </c>
      <c r="B15" s="162">
        <v>1</v>
      </c>
      <c r="C15" s="324">
        <v>0</v>
      </c>
      <c r="D15" s="324">
        <v>0</v>
      </c>
      <c r="E15" s="324">
        <v>0</v>
      </c>
      <c r="F15" s="324">
        <v>0</v>
      </c>
      <c r="J15"/>
      <c r="K15"/>
      <c r="L15"/>
      <c r="M15"/>
      <c r="N15"/>
      <c r="O15"/>
      <c r="P15"/>
      <c r="Q15"/>
      <c r="R15"/>
      <c r="S15"/>
      <c r="T15"/>
      <c r="U15"/>
    </row>
    <row r="16" spans="1:21">
      <c r="A16" s="1007"/>
      <c r="B16" s="162">
        <v>2</v>
      </c>
      <c r="C16" s="323">
        <v>0.01</v>
      </c>
      <c r="D16" s="323">
        <v>7.0000000000000001E-3</v>
      </c>
      <c r="E16" s="323">
        <v>5.0000000000000001E-3</v>
      </c>
      <c r="F16" s="323">
        <v>2E-3</v>
      </c>
      <c r="H16" s="323"/>
      <c r="I16" s="323"/>
      <c r="J16"/>
      <c r="K16"/>
      <c r="L16"/>
      <c r="M16"/>
      <c r="N16"/>
      <c r="O16"/>
      <c r="P16"/>
      <c r="Q16"/>
      <c r="R16"/>
      <c r="S16"/>
      <c r="T16"/>
      <c r="U16"/>
    </row>
    <row r="17" spans="1:21">
      <c r="A17" s="1007"/>
      <c r="B17" s="162">
        <v>3</v>
      </c>
      <c r="C17" s="323">
        <v>0.02</v>
      </c>
      <c r="D17" s="323">
        <v>1.4E-2</v>
      </c>
      <c r="E17" s="323">
        <v>8.9999999999999993E-3</v>
      </c>
      <c r="F17" s="323">
        <v>4.0000000000000001E-3</v>
      </c>
      <c r="H17" s="323"/>
      <c r="I17" s="323"/>
      <c r="J17"/>
      <c r="K17"/>
      <c r="L17"/>
      <c r="M17"/>
      <c r="N17"/>
      <c r="O17"/>
      <c r="P17"/>
      <c r="Q17"/>
      <c r="R17"/>
      <c r="S17"/>
      <c r="T17"/>
      <c r="U17"/>
    </row>
    <row r="18" spans="1:21">
      <c r="A18" s="1007"/>
      <c r="B18" s="162">
        <v>4</v>
      </c>
      <c r="C18" s="323">
        <v>0.03</v>
      </c>
      <c r="D18" s="323">
        <v>2.1000000000000001E-2</v>
      </c>
      <c r="E18" s="323">
        <v>1.4E-2</v>
      </c>
      <c r="F18" s="323">
        <v>6.0000000000000001E-3</v>
      </c>
      <c r="H18" s="323"/>
      <c r="I18" s="323"/>
      <c r="J18"/>
      <c r="K18"/>
      <c r="L18"/>
      <c r="M18"/>
      <c r="N18"/>
      <c r="O18"/>
      <c r="P18"/>
      <c r="Q18"/>
      <c r="R18"/>
      <c r="S18"/>
      <c r="T18"/>
      <c r="U18"/>
    </row>
    <row r="19" spans="1:21">
      <c r="A19" s="1007"/>
      <c r="B19" s="162">
        <v>5</v>
      </c>
      <c r="C19" s="323">
        <v>0.04</v>
      </c>
      <c r="D19" s="323">
        <v>2.9000000000000001E-2</v>
      </c>
      <c r="E19" s="323">
        <v>1.7999999999999999E-2</v>
      </c>
      <c r="F19" s="323">
        <v>7.0000000000000001E-3</v>
      </c>
      <c r="H19" s="323"/>
      <c r="I19" s="323"/>
      <c r="J19"/>
      <c r="K19"/>
      <c r="L19"/>
      <c r="M19"/>
      <c r="N19"/>
      <c r="O19"/>
      <c r="P19"/>
      <c r="Q19"/>
      <c r="R19"/>
      <c r="S19"/>
      <c r="T19"/>
      <c r="U19"/>
    </row>
    <row r="20" spans="1:21">
      <c r="A20" s="1007"/>
      <c r="B20" s="162">
        <v>6</v>
      </c>
      <c r="D20" s="323">
        <v>3.5999999999999997E-2</v>
      </c>
      <c r="E20" s="323">
        <v>2.3E-2</v>
      </c>
      <c r="F20" s="323">
        <v>8.9999999999999993E-3</v>
      </c>
      <c r="I20" s="323"/>
      <c r="J20"/>
      <c r="K20"/>
      <c r="L20"/>
      <c r="M20"/>
      <c r="N20"/>
      <c r="O20"/>
      <c r="P20"/>
      <c r="Q20"/>
      <c r="R20"/>
      <c r="S20"/>
      <c r="T20"/>
      <c r="U20"/>
    </row>
    <row r="21" spans="1:21">
      <c r="A21" s="1007"/>
      <c r="B21" s="162">
        <v>7</v>
      </c>
      <c r="D21" s="323">
        <v>4.2999999999999997E-2</v>
      </c>
      <c r="E21" s="323">
        <v>2.8000000000000001E-2</v>
      </c>
      <c r="F21" s="323">
        <v>1.0999999999999999E-2</v>
      </c>
      <c r="I21" s="323"/>
      <c r="J21"/>
      <c r="K21"/>
      <c r="L21"/>
      <c r="M21"/>
      <c r="N21"/>
      <c r="O21"/>
      <c r="P21"/>
      <c r="Q21"/>
      <c r="R21"/>
      <c r="S21"/>
      <c r="T21"/>
      <c r="U21"/>
    </row>
    <row r="22" spans="1:21">
      <c r="A22" s="1007"/>
      <c r="B22" s="162">
        <v>8</v>
      </c>
      <c r="D22" s="323">
        <v>0.05</v>
      </c>
      <c r="E22" s="323">
        <v>3.2000000000000001E-2</v>
      </c>
      <c r="F22" s="323">
        <v>1.2999999999999999E-2</v>
      </c>
      <c r="I22" s="323"/>
      <c r="J22"/>
      <c r="K22"/>
      <c r="L22"/>
      <c r="M22"/>
      <c r="N22"/>
      <c r="O22"/>
      <c r="P22"/>
      <c r="Q22"/>
      <c r="R22"/>
      <c r="S22"/>
      <c r="T22"/>
      <c r="U22"/>
    </row>
    <row r="23" spans="1:21">
      <c r="A23" s="1007"/>
      <c r="B23" s="162">
        <v>9</v>
      </c>
      <c r="D23" s="323">
        <v>5.8000000000000003E-2</v>
      </c>
      <c r="E23" s="323">
        <v>3.6999999999999998E-2</v>
      </c>
      <c r="F23" s="323">
        <v>1.4999999999999999E-2</v>
      </c>
      <c r="I23" s="323"/>
      <c r="J23"/>
      <c r="K23"/>
      <c r="L23"/>
      <c r="M23"/>
      <c r="N23"/>
      <c r="O23"/>
      <c r="P23"/>
      <c r="Q23"/>
      <c r="R23"/>
      <c r="S23"/>
      <c r="T23"/>
      <c r="U23"/>
    </row>
    <row r="24" spans="1:21">
      <c r="A24" s="1007"/>
      <c r="B24" s="162">
        <v>10</v>
      </c>
      <c r="D24" s="323">
        <v>6.5000000000000002E-2</v>
      </c>
      <c r="E24" s="323">
        <v>4.2000000000000003E-2</v>
      </c>
      <c r="F24" s="323">
        <v>1.7000000000000001E-2</v>
      </c>
      <c r="I24" s="323"/>
      <c r="J24"/>
      <c r="K24"/>
      <c r="L24"/>
      <c r="M24"/>
      <c r="N24"/>
      <c r="O24"/>
      <c r="P24"/>
      <c r="Q24"/>
      <c r="R24"/>
      <c r="S24"/>
      <c r="T24"/>
      <c r="U24"/>
    </row>
    <row r="25" spans="1:21">
      <c r="A25" s="1007"/>
      <c r="B25" s="162">
        <v>11</v>
      </c>
      <c r="E25" s="323">
        <v>4.7E-2</v>
      </c>
      <c r="F25" s="323">
        <v>1.9E-2</v>
      </c>
      <c r="J25"/>
      <c r="K25"/>
      <c r="L25"/>
      <c r="M25"/>
      <c r="N25"/>
      <c r="O25"/>
      <c r="P25"/>
      <c r="Q25"/>
      <c r="R25"/>
      <c r="S25"/>
      <c r="T25"/>
      <c r="U25"/>
    </row>
    <row r="26" spans="1:21">
      <c r="A26" s="1007"/>
      <c r="B26" s="162">
        <v>12</v>
      </c>
      <c r="E26" s="323">
        <v>5.0999999999999997E-2</v>
      </c>
      <c r="F26" s="323">
        <v>2.1000000000000001E-2</v>
      </c>
      <c r="J26"/>
      <c r="K26"/>
      <c r="L26"/>
      <c r="M26"/>
      <c r="N26"/>
      <c r="O26"/>
      <c r="P26"/>
      <c r="Q26"/>
      <c r="R26"/>
      <c r="S26"/>
      <c r="T26"/>
      <c r="U26"/>
    </row>
    <row r="27" spans="1:21">
      <c r="A27" s="1007"/>
      <c r="B27" s="162">
        <v>13</v>
      </c>
      <c r="E27" s="323">
        <v>5.6000000000000001E-2</v>
      </c>
      <c r="F27" s="323">
        <v>2.1999999999999999E-2</v>
      </c>
      <c r="J27"/>
      <c r="K27"/>
      <c r="L27"/>
      <c r="M27"/>
      <c r="N27"/>
      <c r="O27"/>
      <c r="P27"/>
      <c r="Q27"/>
      <c r="R27"/>
      <c r="S27"/>
      <c r="T27"/>
      <c r="U27"/>
    </row>
    <row r="28" spans="1:21">
      <c r="A28" s="1007"/>
      <c r="B28" s="162">
        <v>14</v>
      </c>
      <c r="E28" s="323">
        <v>6.0999999999999999E-2</v>
      </c>
      <c r="F28" s="323">
        <v>2.4E-2</v>
      </c>
      <c r="J28"/>
      <c r="K28"/>
      <c r="L28"/>
      <c r="M28"/>
      <c r="N28"/>
      <c r="O28"/>
      <c r="P28"/>
      <c r="Q28"/>
      <c r="R28"/>
      <c r="S28"/>
      <c r="T28"/>
      <c r="U28"/>
    </row>
    <row r="29" spans="1:21">
      <c r="A29" s="1007"/>
      <c r="B29" s="162">
        <v>15</v>
      </c>
      <c r="E29" s="323">
        <v>6.6000000000000003E-2</v>
      </c>
      <c r="F29" s="323">
        <v>2.5999999999999999E-2</v>
      </c>
      <c r="J29"/>
      <c r="K29"/>
      <c r="L29"/>
      <c r="M29"/>
      <c r="N29"/>
      <c r="O29"/>
      <c r="P29"/>
      <c r="Q29"/>
      <c r="R29"/>
      <c r="S29"/>
      <c r="T29"/>
      <c r="U29"/>
    </row>
    <row r="30" spans="1:21">
      <c r="A30" s="1007"/>
      <c r="B30" s="162">
        <v>16</v>
      </c>
      <c r="E30" s="323">
        <v>7.0000000000000007E-2</v>
      </c>
      <c r="F30" s="323">
        <v>2.8000000000000001E-2</v>
      </c>
      <c r="J30"/>
      <c r="K30"/>
      <c r="L30"/>
      <c r="M30"/>
      <c r="N30"/>
      <c r="O30"/>
      <c r="P30"/>
      <c r="Q30"/>
      <c r="R30"/>
      <c r="S30"/>
      <c r="T30"/>
      <c r="U30"/>
    </row>
    <row r="31" spans="1:21">
      <c r="A31" s="1007"/>
      <c r="B31" s="162">
        <v>17</v>
      </c>
      <c r="E31" s="323">
        <v>7.4999999999999997E-2</v>
      </c>
      <c r="F31" s="323">
        <v>0.03</v>
      </c>
      <c r="J31"/>
      <c r="K31"/>
      <c r="L31"/>
      <c r="M31"/>
      <c r="N31"/>
      <c r="O31"/>
      <c r="P31"/>
      <c r="Q31"/>
      <c r="R31"/>
      <c r="S31"/>
      <c r="T31"/>
      <c r="U31"/>
    </row>
    <row r="32" spans="1:21">
      <c r="A32" s="1007"/>
      <c r="B32" s="162">
        <v>18</v>
      </c>
      <c r="E32" s="323">
        <v>0.08</v>
      </c>
      <c r="F32" s="323">
        <v>3.2000000000000001E-2</v>
      </c>
      <c r="J32"/>
      <c r="K32"/>
      <c r="L32"/>
      <c r="M32"/>
      <c r="N32"/>
      <c r="O32"/>
      <c r="P32"/>
      <c r="Q32"/>
      <c r="R32"/>
      <c r="S32"/>
      <c r="T32"/>
      <c r="U32"/>
    </row>
    <row r="33" spans="1:21">
      <c r="A33" s="1007"/>
      <c r="B33" s="162">
        <v>19</v>
      </c>
      <c r="E33" s="323">
        <v>8.5000000000000006E-2</v>
      </c>
      <c r="F33" s="323">
        <v>3.4000000000000002E-2</v>
      </c>
      <c r="J33"/>
      <c r="K33"/>
      <c r="L33"/>
      <c r="M33"/>
      <c r="N33"/>
      <c r="O33"/>
      <c r="P33"/>
      <c r="Q33"/>
      <c r="R33"/>
      <c r="S33"/>
      <c r="T33"/>
      <c r="U33"/>
    </row>
    <row r="34" spans="1:21">
      <c r="A34" s="1007"/>
      <c r="B34" s="162">
        <v>20</v>
      </c>
      <c r="E34" s="323">
        <v>0.09</v>
      </c>
      <c r="F34" s="323">
        <v>3.5999999999999997E-2</v>
      </c>
      <c r="J34"/>
      <c r="K34"/>
      <c r="L34"/>
      <c r="M34"/>
      <c r="N34"/>
      <c r="O34"/>
      <c r="P34"/>
      <c r="Q34"/>
      <c r="R34"/>
      <c r="S34"/>
      <c r="T34"/>
      <c r="U34"/>
    </row>
    <row r="35" spans="1:21">
      <c r="A35" s="1007"/>
      <c r="B35" s="162">
        <v>21</v>
      </c>
      <c r="F35" s="323">
        <v>3.7999999999999999E-2</v>
      </c>
      <c r="J35"/>
      <c r="K35"/>
      <c r="L35"/>
      <c r="M35"/>
      <c r="N35"/>
      <c r="O35"/>
      <c r="P35"/>
      <c r="Q35"/>
      <c r="R35"/>
      <c r="S35"/>
      <c r="T35"/>
      <c r="U35"/>
    </row>
    <row r="36" spans="1:21">
      <c r="A36" s="1007"/>
      <c r="B36" s="162">
        <v>22</v>
      </c>
      <c r="F36" s="323">
        <v>0.04</v>
      </c>
      <c r="J36"/>
      <c r="K36"/>
      <c r="L36"/>
      <c r="M36"/>
      <c r="N36"/>
      <c r="O36"/>
      <c r="P36"/>
      <c r="Q36"/>
      <c r="R36"/>
      <c r="S36"/>
      <c r="T36"/>
      <c r="U36"/>
    </row>
    <row r="37" spans="1:21">
      <c r="A37" s="1007"/>
      <c r="B37" s="162">
        <v>23</v>
      </c>
      <c r="F37" s="323">
        <v>4.1000000000000002E-2</v>
      </c>
      <c r="J37"/>
      <c r="K37"/>
      <c r="L37"/>
      <c r="M37"/>
      <c r="N37"/>
      <c r="O37"/>
      <c r="P37"/>
      <c r="Q37"/>
      <c r="R37"/>
      <c r="S37"/>
      <c r="T37"/>
      <c r="U37"/>
    </row>
    <row r="38" spans="1:21">
      <c r="A38" s="1007"/>
      <c r="B38" s="162">
        <v>24</v>
      </c>
      <c r="F38" s="323">
        <v>4.2999999999999997E-2</v>
      </c>
      <c r="J38"/>
      <c r="K38"/>
      <c r="L38"/>
      <c r="M38"/>
      <c r="N38"/>
      <c r="O38"/>
      <c r="P38"/>
      <c r="Q38"/>
      <c r="R38"/>
      <c r="S38"/>
      <c r="T38"/>
      <c r="U38"/>
    </row>
    <row r="39" spans="1:21">
      <c r="A39" s="1007"/>
      <c r="B39" s="162">
        <v>25</v>
      </c>
      <c r="F39" s="323">
        <v>4.4999999999999998E-2</v>
      </c>
      <c r="J39"/>
      <c r="K39"/>
      <c r="L39"/>
      <c r="M39"/>
      <c r="N39"/>
      <c r="O39"/>
      <c r="P39"/>
      <c r="Q39"/>
      <c r="R39"/>
      <c r="S39"/>
      <c r="T39"/>
      <c r="U39"/>
    </row>
    <row r="40" spans="1:21">
      <c r="A40" s="1007"/>
      <c r="B40" s="162">
        <v>26</v>
      </c>
      <c r="F40" s="323">
        <v>4.7E-2</v>
      </c>
      <c r="J40"/>
      <c r="K40"/>
      <c r="L40"/>
      <c r="M40"/>
      <c r="N40"/>
      <c r="O40"/>
      <c r="P40"/>
      <c r="Q40"/>
      <c r="R40"/>
      <c r="S40"/>
      <c r="T40"/>
      <c r="U40"/>
    </row>
    <row r="41" spans="1:21">
      <c r="A41" s="1007"/>
      <c r="B41" s="162">
        <v>27</v>
      </c>
      <c r="F41" s="323">
        <v>4.9000000000000002E-2</v>
      </c>
      <c r="J41"/>
      <c r="K41"/>
      <c r="L41"/>
      <c r="M41"/>
      <c r="N41"/>
      <c r="O41"/>
      <c r="P41"/>
      <c r="Q41"/>
      <c r="R41"/>
      <c r="S41"/>
      <c r="T41"/>
      <c r="U41"/>
    </row>
    <row r="42" spans="1:21">
      <c r="A42" s="1007"/>
      <c r="B42" s="162">
        <v>28</v>
      </c>
      <c r="F42" s="323">
        <v>5.0999999999999997E-2</v>
      </c>
      <c r="J42"/>
      <c r="K42"/>
      <c r="L42"/>
      <c r="M42"/>
      <c r="N42"/>
      <c r="O42"/>
      <c r="P42"/>
      <c r="Q42"/>
      <c r="R42"/>
      <c r="S42"/>
      <c r="T42"/>
      <c r="U42"/>
    </row>
    <row r="43" spans="1:21">
      <c r="A43" s="1007"/>
      <c r="B43" s="162">
        <v>29</v>
      </c>
      <c r="F43" s="323">
        <v>5.2999999999999999E-2</v>
      </c>
      <c r="J43"/>
      <c r="K43"/>
      <c r="L43"/>
      <c r="M43"/>
      <c r="N43"/>
      <c r="O43"/>
      <c r="P43"/>
      <c r="Q43"/>
      <c r="R43"/>
      <c r="S43"/>
      <c r="T43"/>
      <c r="U43"/>
    </row>
    <row r="44" spans="1:21">
      <c r="A44" s="1007"/>
      <c r="B44" s="162">
        <v>30</v>
      </c>
      <c r="F44" s="323">
        <v>5.5E-2</v>
      </c>
      <c r="J44"/>
      <c r="K44"/>
      <c r="L44"/>
      <c r="M44"/>
      <c r="N44"/>
      <c r="O44"/>
      <c r="P44"/>
      <c r="Q44"/>
      <c r="R44"/>
      <c r="S44"/>
      <c r="T44"/>
      <c r="U44"/>
    </row>
    <row r="45" spans="1:21">
      <c r="A45" s="1007"/>
      <c r="B45" s="162">
        <v>31</v>
      </c>
      <c r="F45" s="323">
        <v>5.7000000000000002E-2</v>
      </c>
      <c r="J45"/>
      <c r="K45"/>
      <c r="L45"/>
      <c r="M45"/>
      <c r="N45"/>
      <c r="O45"/>
      <c r="P45"/>
      <c r="Q45"/>
      <c r="R45"/>
      <c r="S45"/>
      <c r="T45"/>
      <c r="U45"/>
    </row>
    <row r="46" spans="1:21">
      <c r="A46" s="1007"/>
      <c r="B46" s="162">
        <v>32</v>
      </c>
      <c r="F46" s="323">
        <v>5.8999999999999997E-2</v>
      </c>
      <c r="J46"/>
      <c r="K46"/>
      <c r="L46"/>
      <c r="M46"/>
      <c r="N46"/>
      <c r="O46"/>
      <c r="P46"/>
      <c r="Q46"/>
      <c r="R46"/>
      <c r="S46"/>
      <c r="T46"/>
      <c r="U46"/>
    </row>
    <row r="47" spans="1:21">
      <c r="A47" s="1007"/>
      <c r="B47" s="162">
        <v>33</v>
      </c>
      <c r="F47" s="323">
        <v>6.0999999999999999E-2</v>
      </c>
      <c r="J47"/>
      <c r="K47"/>
      <c r="L47"/>
      <c r="M47"/>
      <c r="N47"/>
      <c r="O47"/>
      <c r="P47"/>
      <c r="Q47"/>
      <c r="R47"/>
      <c r="S47"/>
      <c r="T47"/>
      <c r="U47"/>
    </row>
    <row r="48" spans="1:21">
      <c r="A48" s="1007"/>
      <c r="B48" s="162">
        <v>34</v>
      </c>
      <c r="F48" s="323">
        <v>6.3E-2</v>
      </c>
      <c r="J48"/>
      <c r="K48"/>
      <c r="L48"/>
      <c r="M48"/>
      <c r="N48"/>
      <c r="O48"/>
      <c r="P48"/>
      <c r="Q48"/>
      <c r="R48"/>
      <c r="S48"/>
      <c r="T48"/>
      <c r="U48"/>
    </row>
    <row r="49" spans="1:21">
      <c r="A49" s="1007"/>
      <c r="B49" s="162">
        <v>35</v>
      </c>
      <c r="F49" s="323">
        <v>6.5000000000000002E-2</v>
      </c>
      <c r="J49"/>
      <c r="K49"/>
      <c r="L49"/>
      <c r="M49"/>
      <c r="N49"/>
      <c r="O49"/>
      <c r="P49"/>
      <c r="Q49"/>
      <c r="R49"/>
      <c r="S49"/>
      <c r="T49"/>
      <c r="U49"/>
    </row>
    <row r="50" spans="1:21">
      <c r="A50" s="1007"/>
      <c r="B50" s="162">
        <v>36</v>
      </c>
      <c r="F50" s="323">
        <v>6.7000000000000004E-2</v>
      </c>
      <c r="J50"/>
      <c r="K50"/>
      <c r="L50"/>
      <c r="M50"/>
      <c r="N50"/>
      <c r="O50"/>
      <c r="P50"/>
      <c r="Q50"/>
      <c r="R50"/>
      <c r="S50"/>
      <c r="T50"/>
      <c r="U50"/>
    </row>
    <row r="51" spans="1:21">
      <c r="A51" s="1007"/>
      <c r="B51" s="162">
        <v>37</v>
      </c>
      <c r="F51" s="323">
        <v>6.8000000000000005E-2</v>
      </c>
      <c r="J51"/>
      <c r="K51"/>
      <c r="L51"/>
      <c r="M51"/>
      <c r="N51"/>
      <c r="O51"/>
      <c r="P51"/>
      <c r="Q51"/>
      <c r="R51"/>
      <c r="S51"/>
      <c r="T51"/>
      <c r="U51"/>
    </row>
    <row r="52" spans="1:21">
      <c r="A52" s="1007"/>
      <c r="B52" s="162">
        <v>38</v>
      </c>
      <c r="F52" s="323">
        <v>7.0000000000000007E-2</v>
      </c>
      <c r="J52"/>
      <c r="K52"/>
      <c r="L52"/>
      <c r="M52"/>
      <c r="N52"/>
      <c r="O52"/>
      <c r="P52"/>
      <c r="Q52"/>
      <c r="R52"/>
      <c r="S52"/>
      <c r="T52"/>
      <c r="U52"/>
    </row>
    <row r="53" spans="1:21">
      <c r="A53" s="1007"/>
      <c r="B53" s="162">
        <v>39</v>
      </c>
      <c r="F53" s="323">
        <v>7.1999999999999995E-2</v>
      </c>
      <c r="J53"/>
      <c r="K53"/>
      <c r="L53"/>
      <c r="M53"/>
      <c r="N53"/>
      <c r="O53"/>
      <c r="P53"/>
      <c r="Q53"/>
      <c r="R53"/>
      <c r="S53"/>
      <c r="T53"/>
      <c r="U53"/>
    </row>
    <row r="54" spans="1:21">
      <c r="A54" s="1007"/>
      <c r="B54" s="162">
        <v>40</v>
      </c>
      <c r="F54" s="323">
        <v>7.3999999999999996E-2</v>
      </c>
      <c r="J54"/>
      <c r="K54"/>
      <c r="L54"/>
      <c r="M54"/>
      <c r="N54"/>
      <c r="O54"/>
      <c r="P54"/>
      <c r="Q54"/>
      <c r="R54"/>
      <c r="S54"/>
      <c r="T54"/>
      <c r="U54"/>
    </row>
    <row r="55" spans="1:21">
      <c r="A55" s="1007"/>
      <c r="B55" s="162">
        <v>41</v>
      </c>
      <c r="F55" s="323">
        <v>7.5999999999999998E-2</v>
      </c>
      <c r="J55"/>
      <c r="K55"/>
      <c r="L55"/>
      <c r="M55"/>
      <c r="N55"/>
      <c r="O55"/>
      <c r="P55"/>
      <c r="Q55"/>
      <c r="R55"/>
      <c r="S55"/>
      <c r="T55"/>
      <c r="U55"/>
    </row>
    <row r="56" spans="1:21">
      <c r="A56" s="1007"/>
      <c r="B56" s="162">
        <v>42</v>
      </c>
      <c r="F56" s="323">
        <v>7.8E-2</v>
      </c>
      <c r="J56"/>
      <c r="K56"/>
      <c r="L56"/>
      <c r="M56"/>
      <c r="N56"/>
      <c r="O56"/>
      <c r="P56"/>
      <c r="Q56"/>
      <c r="R56"/>
      <c r="S56"/>
      <c r="T56"/>
      <c r="U56"/>
    </row>
    <row r="57" spans="1:21">
      <c r="A57" s="1007"/>
      <c r="B57" s="162">
        <v>43</v>
      </c>
      <c r="F57" s="323">
        <v>0.08</v>
      </c>
      <c r="J57"/>
      <c r="K57"/>
      <c r="L57"/>
      <c r="M57"/>
      <c r="N57"/>
      <c r="O57"/>
      <c r="P57"/>
      <c r="Q57"/>
      <c r="R57"/>
      <c r="S57"/>
      <c r="T57"/>
      <c r="U57"/>
    </row>
    <row r="58" spans="1:21">
      <c r="A58" s="1007"/>
      <c r="B58" s="162">
        <v>44</v>
      </c>
      <c r="F58" s="323">
        <v>8.2000000000000003E-2</v>
      </c>
      <c r="J58"/>
      <c r="K58"/>
      <c r="L58"/>
      <c r="M58"/>
      <c r="N58"/>
      <c r="O58"/>
      <c r="P58"/>
      <c r="Q58"/>
      <c r="R58"/>
      <c r="S58"/>
      <c r="T58"/>
      <c r="U58"/>
    </row>
    <row r="59" spans="1:21">
      <c r="A59" s="1007"/>
      <c r="B59" s="162">
        <v>45</v>
      </c>
      <c r="F59" s="323">
        <v>8.4000000000000005E-2</v>
      </c>
      <c r="J59"/>
      <c r="K59"/>
      <c r="L59"/>
      <c r="M59"/>
      <c r="N59"/>
      <c r="O59"/>
      <c r="P59"/>
      <c r="Q59"/>
      <c r="R59"/>
      <c r="S59"/>
      <c r="T59"/>
      <c r="U59"/>
    </row>
    <row r="60" spans="1:21">
      <c r="A60" s="1007"/>
      <c r="B60" s="162">
        <v>46</v>
      </c>
      <c r="F60" s="323">
        <v>8.5999999999999993E-2</v>
      </c>
      <c r="J60"/>
      <c r="K60"/>
      <c r="L60"/>
      <c r="M60"/>
      <c r="N60"/>
      <c r="O60"/>
      <c r="P60"/>
      <c r="Q60"/>
      <c r="R60"/>
      <c r="S60"/>
      <c r="T60"/>
      <c r="U60"/>
    </row>
    <row r="61" spans="1:21">
      <c r="A61" s="1007"/>
      <c r="B61" s="162">
        <v>47</v>
      </c>
      <c r="F61" s="323">
        <v>8.7999999999999995E-2</v>
      </c>
      <c r="J61"/>
      <c r="K61"/>
      <c r="L61"/>
      <c r="M61"/>
      <c r="N61"/>
      <c r="O61"/>
      <c r="P61"/>
      <c r="Q61"/>
      <c r="R61"/>
      <c r="S61"/>
      <c r="T61"/>
      <c r="U61"/>
    </row>
    <row r="62" spans="1:21">
      <c r="A62" s="1007"/>
      <c r="B62" s="162">
        <v>48</v>
      </c>
      <c r="F62" s="323">
        <v>0.09</v>
      </c>
      <c r="J62"/>
      <c r="K62"/>
      <c r="L62"/>
      <c r="M62"/>
      <c r="N62"/>
      <c r="O62"/>
      <c r="P62"/>
      <c r="Q62"/>
      <c r="R62"/>
      <c r="S62"/>
      <c r="T62"/>
      <c r="U62"/>
    </row>
    <row r="63" spans="1:21">
      <c r="A63" s="1007"/>
      <c r="B63" s="162">
        <v>49</v>
      </c>
      <c r="F63" s="323">
        <v>9.1999999999999998E-2</v>
      </c>
      <c r="J63"/>
      <c r="K63"/>
      <c r="L63"/>
      <c r="M63"/>
      <c r="N63"/>
      <c r="O63"/>
      <c r="P63"/>
      <c r="Q63"/>
      <c r="R63"/>
      <c r="S63"/>
      <c r="T63"/>
      <c r="U63"/>
    </row>
    <row r="64" spans="1:21">
      <c r="A64" s="1007"/>
      <c r="B64" s="162">
        <v>50</v>
      </c>
      <c r="F64" s="323">
        <v>9.4E-2</v>
      </c>
      <c r="J64"/>
      <c r="K64"/>
      <c r="L64"/>
      <c r="M64"/>
      <c r="N64"/>
      <c r="O64"/>
      <c r="P64"/>
      <c r="Q64"/>
      <c r="R64"/>
      <c r="S64"/>
      <c r="T64"/>
      <c r="U64"/>
    </row>
    <row r="65" spans="1:21">
      <c r="A65" s="1007"/>
      <c r="B65" s="162">
        <v>51</v>
      </c>
      <c r="F65" s="323">
        <v>9.6000000000000002E-2</v>
      </c>
      <c r="J65"/>
      <c r="K65"/>
      <c r="L65"/>
      <c r="M65"/>
      <c r="N65"/>
      <c r="O65"/>
      <c r="P65"/>
      <c r="Q65"/>
      <c r="R65"/>
      <c r="S65"/>
      <c r="T65"/>
      <c r="U65"/>
    </row>
    <row r="66" spans="1:21">
      <c r="A66" s="1007"/>
      <c r="B66" s="162">
        <v>52</v>
      </c>
      <c r="F66" s="323">
        <v>9.8000000000000004E-2</v>
      </c>
      <c r="J66"/>
      <c r="K66"/>
      <c r="L66"/>
      <c r="M66"/>
      <c r="N66"/>
      <c r="O66"/>
      <c r="P66"/>
      <c r="Q66"/>
      <c r="R66"/>
      <c r="S66"/>
      <c r="T66"/>
      <c r="U66"/>
    </row>
    <row r="67" spans="1:21">
      <c r="A67" s="1007"/>
      <c r="B67" s="162">
        <v>53</v>
      </c>
      <c r="F67" s="323">
        <v>0.1</v>
      </c>
      <c r="J67"/>
      <c r="K67"/>
      <c r="L67"/>
      <c r="M67"/>
      <c r="N67"/>
      <c r="O67"/>
      <c r="P67"/>
      <c r="Q67"/>
      <c r="R67"/>
      <c r="S67"/>
      <c r="T67"/>
      <c r="U67"/>
    </row>
    <row r="68" spans="1:21">
      <c r="A68" s="1007"/>
      <c r="B68" s="162">
        <v>54</v>
      </c>
      <c r="F68" s="323">
        <v>0.10199999999999999</v>
      </c>
      <c r="J68"/>
      <c r="K68"/>
      <c r="L68"/>
      <c r="M68"/>
      <c r="N68"/>
      <c r="O68"/>
      <c r="P68"/>
      <c r="Q68"/>
      <c r="R68"/>
      <c r="S68"/>
      <c r="T68"/>
      <c r="U68"/>
    </row>
    <row r="69" spans="1:21">
      <c r="A69" s="1007"/>
      <c r="B69" s="162">
        <v>55</v>
      </c>
      <c r="F69" s="323">
        <v>0.104</v>
      </c>
      <c r="J69"/>
      <c r="K69"/>
      <c r="L69"/>
      <c r="M69"/>
      <c r="N69"/>
      <c r="O69"/>
      <c r="P69"/>
      <c r="Q69"/>
      <c r="R69"/>
      <c r="S69"/>
      <c r="T69"/>
      <c r="U69"/>
    </row>
    <row r="70" spans="1:21">
      <c r="A70" s="1007"/>
      <c r="B70" s="162">
        <v>56</v>
      </c>
      <c r="F70" s="323">
        <v>0.106</v>
      </c>
      <c r="J70"/>
      <c r="K70"/>
      <c r="L70"/>
      <c r="M70"/>
      <c r="N70"/>
      <c r="O70"/>
      <c r="P70"/>
      <c r="Q70"/>
      <c r="R70"/>
      <c r="S70"/>
      <c r="T70"/>
      <c r="U70"/>
    </row>
    <row r="71" spans="1:21">
      <c r="A71" s="1007"/>
      <c r="B71" s="162">
        <v>57</v>
      </c>
      <c r="F71" s="323">
        <v>0.108</v>
      </c>
      <c r="J71"/>
      <c r="K71"/>
      <c r="L71"/>
      <c r="M71"/>
      <c r="N71"/>
      <c r="O71"/>
      <c r="P71"/>
      <c r="Q71"/>
      <c r="R71"/>
      <c r="S71"/>
      <c r="T71"/>
      <c r="U71"/>
    </row>
    <row r="72" spans="1:21">
      <c r="A72" s="1007"/>
      <c r="B72" s="162">
        <v>58</v>
      </c>
      <c r="F72" s="323">
        <v>0.11</v>
      </c>
      <c r="J72"/>
      <c r="K72"/>
      <c r="L72"/>
      <c r="M72"/>
      <c r="N72"/>
      <c r="O72"/>
      <c r="P72"/>
      <c r="Q72"/>
      <c r="R72"/>
      <c r="S72"/>
      <c r="T72"/>
      <c r="U72"/>
    </row>
    <row r="73" spans="1:21">
      <c r="A73" s="1007"/>
      <c r="B73" s="162">
        <v>59</v>
      </c>
      <c r="F73" s="323">
        <v>0.112</v>
      </c>
      <c r="J73"/>
      <c r="K73"/>
      <c r="L73"/>
      <c r="M73"/>
      <c r="N73"/>
      <c r="O73"/>
      <c r="P73"/>
      <c r="Q73"/>
      <c r="R73"/>
      <c r="S73"/>
      <c r="T73"/>
      <c r="U73"/>
    </row>
    <row r="74" spans="1:21">
      <c r="A74" s="1008"/>
      <c r="B74" s="162">
        <v>60</v>
      </c>
      <c r="F74" s="323">
        <v>0.114</v>
      </c>
      <c r="J74"/>
      <c r="K74"/>
      <c r="L74"/>
      <c r="M74"/>
      <c r="N74"/>
      <c r="O74"/>
      <c r="P74"/>
      <c r="Q74"/>
      <c r="R74"/>
      <c r="S74"/>
      <c r="T74"/>
      <c r="U74"/>
    </row>
    <row r="75" spans="1:21">
      <c r="J75"/>
      <c r="K75"/>
      <c r="L75"/>
      <c r="M75"/>
      <c r="N75"/>
      <c r="O75"/>
      <c r="P75"/>
      <c r="Q75"/>
      <c r="R75"/>
      <c r="S75"/>
      <c r="T75"/>
      <c r="U75"/>
    </row>
    <row r="81" spans="3:6">
      <c r="C81" s="322"/>
      <c r="D81" s="322"/>
      <c r="E81" s="322"/>
      <c r="F81" s="322"/>
    </row>
  </sheetData>
  <sheetProtection password="F4F5" sheet="1" objects="1" scenarios="1" selectLockedCells="1" selectUnlockedCells="1"/>
  <mergeCells count="4">
    <mergeCell ref="B4:G4"/>
    <mergeCell ref="B6:G6"/>
    <mergeCell ref="A15:A74"/>
    <mergeCell ref="C11:F11"/>
  </mergeCells>
  <printOptions horizontalCentered="1" verticalCentered="1"/>
  <pageMargins left="0.78740157480314965" right="0.78740157480314965" top="0.39370078740157483" bottom="0.39370078740157483" header="0" footer="0"/>
  <pageSetup scale="9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sheetPr codeName="Hoja25">
    <pageSetUpPr fitToPage="1"/>
  </sheetPr>
  <dimension ref="A2:J37"/>
  <sheetViews>
    <sheetView topLeftCell="K1" workbookViewId="0">
      <selection activeCell="J1" sqref="A1:J65536"/>
    </sheetView>
  </sheetViews>
  <sheetFormatPr baseColWidth="10" defaultColWidth="9.33203125" defaultRowHeight="13.5"/>
  <cols>
    <col min="1" max="1" width="26.83203125" style="222" hidden="1" customWidth="1"/>
    <col min="2" max="2" width="1.33203125" style="222" hidden="1" customWidth="1"/>
    <col min="3" max="3" width="12.33203125" style="221" hidden="1" customWidth="1"/>
    <col min="4" max="4" width="20.6640625" style="221" hidden="1" customWidth="1"/>
    <col min="5" max="5" width="1.83203125" style="175" hidden="1" customWidth="1"/>
    <col min="6" max="6" width="9.33203125" style="175" hidden="1" customWidth="1"/>
    <col min="7" max="7" width="26.6640625" style="175" hidden="1" customWidth="1"/>
    <col min="8" max="10" width="9.33203125" style="175" hidden="1" customWidth="1"/>
    <col min="11" max="16384" width="9.33203125" style="175"/>
  </cols>
  <sheetData>
    <row r="2" spans="1:10" ht="22.5" customHeight="1">
      <c r="A2" s="226"/>
      <c r="B2" s="226"/>
      <c r="C2" s="226"/>
      <c r="D2" s="226"/>
    </row>
    <row r="3" spans="1:10">
      <c r="C3" s="225"/>
      <c r="D3" s="225"/>
    </row>
    <row r="4" spans="1:10" ht="12.75" customHeight="1">
      <c r="C4" s="1010" t="s">
        <v>139</v>
      </c>
      <c r="D4" s="1010"/>
    </row>
    <row r="5" spans="1:10">
      <c r="C5" s="221" t="s">
        <v>85</v>
      </c>
      <c r="D5" s="221" t="s">
        <v>84</v>
      </c>
    </row>
    <row r="7" spans="1:10">
      <c r="A7" s="206" t="s">
        <v>129</v>
      </c>
      <c r="C7" s="403">
        <v>2.3473999999999999</v>
      </c>
      <c r="D7" s="404">
        <v>1838.73</v>
      </c>
      <c r="G7" s="401"/>
      <c r="H7" s="402"/>
      <c r="I7" s="403"/>
      <c r="J7" s="404"/>
    </row>
    <row r="8" spans="1:10">
      <c r="A8" s="224"/>
      <c r="C8" s="402"/>
      <c r="D8" s="402"/>
      <c r="G8" s="405"/>
      <c r="H8" s="402"/>
      <c r="I8" s="402"/>
      <c r="J8" s="402"/>
    </row>
    <row r="9" spans="1:10">
      <c r="A9" s="224" t="s">
        <v>15</v>
      </c>
      <c r="C9" s="403">
        <v>2.2881999999999998</v>
      </c>
      <c r="D9" s="404">
        <v>1838.73</v>
      </c>
      <c r="G9" s="405"/>
      <c r="H9" s="402"/>
      <c r="I9" s="403"/>
      <c r="J9" s="404"/>
    </row>
    <row r="10" spans="1:10">
      <c r="A10" s="223" t="s">
        <v>112</v>
      </c>
      <c r="C10" s="403">
        <v>2.5186000000000002</v>
      </c>
      <c r="D10" s="404">
        <v>1838.73</v>
      </c>
      <c r="G10" s="406"/>
      <c r="H10" s="402"/>
      <c r="I10" s="403"/>
      <c r="J10" s="404"/>
    </row>
    <row r="11" spans="1:10">
      <c r="A11" s="224" t="s">
        <v>13</v>
      </c>
      <c r="C11" s="403">
        <v>2.9087000000000001</v>
      </c>
      <c r="D11" s="404">
        <v>1838.73</v>
      </c>
      <c r="G11" s="405"/>
      <c r="H11" s="402"/>
      <c r="I11" s="403"/>
      <c r="J11" s="404"/>
    </row>
    <row r="12" spans="1:10">
      <c r="A12" s="224" t="s">
        <v>20</v>
      </c>
      <c r="C12" s="403">
        <v>2.9087000000000001</v>
      </c>
      <c r="D12" s="404">
        <v>1838.73</v>
      </c>
      <c r="G12" s="405"/>
      <c r="H12" s="402"/>
      <c r="I12" s="403"/>
      <c r="J12" s="404"/>
    </row>
    <row r="13" spans="1:10">
      <c r="A13" s="297" t="s">
        <v>155</v>
      </c>
      <c r="C13" s="403">
        <v>2.6143999999999998</v>
      </c>
      <c r="D13" s="404">
        <v>1838.73</v>
      </c>
      <c r="G13" s="405"/>
      <c r="H13" s="402"/>
      <c r="I13" s="403"/>
      <c r="J13" s="402"/>
    </row>
    <row r="14" spans="1:10">
      <c r="A14" s="224" t="s">
        <v>154</v>
      </c>
      <c r="C14" s="403">
        <v>2.6143999999999998</v>
      </c>
      <c r="D14" s="404">
        <v>1838.73</v>
      </c>
      <c r="G14" s="405"/>
      <c r="H14" s="402"/>
      <c r="I14" s="403"/>
      <c r="J14" s="404"/>
    </row>
    <row r="15" spans="1:10">
      <c r="A15" s="224" t="s">
        <v>50</v>
      </c>
      <c r="C15" s="403">
        <v>2.8927999999999998</v>
      </c>
      <c r="D15" s="404">
        <v>2804.3</v>
      </c>
      <c r="G15" s="405"/>
      <c r="H15" s="402"/>
      <c r="I15" s="403"/>
      <c r="J15" s="404"/>
    </row>
    <row r="16" spans="1:10">
      <c r="A16" s="224" t="s">
        <v>11</v>
      </c>
      <c r="C16" s="403">
        <v>3.1793999999999998</v>
      </c>
      <c r="D16" s="404">
        <v>1838.73</v>
      </c>
      <c r="G16" s="405"/>
      <c r="H16" s="402"/>
      <c r="I16" s="403"/>
      <c r="J16" s="404"/>
    </row>
    <row r="17" spans="1:10">
      <c r="A17" s="224" t="s">
        <v>17</v>
      </c>
      <c r="C17" s="403">
        <v>3.3008999999999999</v>
      </c>
      <c r="D17" s="404">
        <v>1838.73</v>
      </c>
      <c r="G17" s="405"/>
      <c r="H17" s="402"/>
      <c r="I17" s="403"/>
      <c r="J17" s="404"/>
    </row>
    <row r="18" spans="1:10">
      <c r="A18" s="224" t="s">
        <v>44</v>
      </c>
      <c r="C18" s="403">
        <v>2.8927999999999998</v>
      </c>
      <c r="D18" s="404">
        <v>2804.3</v>
      </c>
      <c r="G18" s="405"/>
      <c r="H18" s="402"/>
      <c r="I18" s="403"/>
      <c r="J18" s="404"/>
    </row>
    <row r="19" spans="1:10">
      <c r="A19" s="224" t="s">
        <v>107</v>
      </c>
      <c r="C19" s="403">
        <v>2.8927999999999998</v>
      </c>
      <c r="D19" s="404">
        <v>2804.3</v>
      </c>
      <c r="G19" s="405"/>
      <c r="H19" s="402"/>
      <c r="I19" s="403"/>
      <c r="J19" s="402"/>
    </row>
    <row r="20" spans="1:10">
      <c r="A20" s="224" t="s">
        <v>9</v>
      </c>
      <c r="C20" s="403">
        <v>2.7393999999999998</v>
      </c>
      <c r="D20" s="404">
        <v>1838.73</v>
      </c>
      <c r="G20" s="405"/>
      <c r="H20" s="402"/>
      <c r="I20" s="403"/>
      <c r="J20" s="404"/>
    </row>
    <row r="21" spans="1:10">
      <c r="A21" s="224" t="s">
        <v>151</v>
      </c>
      <c r="C21" s="403">
        <v>2.6143999999999998</v>
      </c>
      <c r="D21" s="404">
        <v>1838.73</v>
      </c>
      <c r="G21" s="406"/>
      <c r="H21" s="402"/>
      <c r="I21" s="403"/>
      <c r="J21" s="402"/>
    </row>
    <row r="22" spans="1:10">
      <c r="A22" s="224" t="s">
        <v>1</v>
      </c>
      <c r="C22" s="403">
        <v>2.7538999999999998</v>
      </c>
      <c r="D22" s="404">
        <v>1838.73</v>
      </c>
      <c r="G22" s="405"/>
      <c r="H22" s="402"/>
      <c r="I22" s="403"/>
      <c r="J22" s="404"/>
    </row>
    <row r="23" spans="1:10">
      <c r="A23" s="223"/>
      <c r="C23" s="403"/>
      <c r="D23" s="402"/>
      <c r="G23" s="406"/>
      <c r="H23" s="402"/>
      <c r="I23" s="403"/>
      <c r="J23" s="402"/>
    </row>
    <row r="24" spans="1:10">
      <c r="A24" s="223" t="s">
        <v>111</v>
      </c>
      <c r="C24" s="403">
        <v>2.8927999999999998</v>
      </c>
      <c r="D24" s="404">
        <v>2804.3</v>
      </c>
      <c r="G24" s="406"/>
      <c r="H24" s="402"/>
      <c r="I24" s="403"/>
      <c r="J24" s="404"/>
    </row>
    <row r="25" spans="1:10">
      <c r="A25" s="224"/>
      <c r="C25" s="403"/>
      <c r="D25" s="402"/>
      <c r="G25" s="405"/>
      <c r="H25" s="402"/>
      <c r="I25" s="403"/>
      <c r="J25" s="402"/>
    </row>
    <row r="26" spans="1:10">
      <c r="A26" s="224" t="s">
        <v>7</v>
      </c>
      <c r="C26" s="403">
        <v>3.927</v>
      </c>
      <c r="D26" s="404">
        <v>1838.73</v>
      </c>
      <c r="G26" s="405"/>
      <c r="H26" s="402"/>
      <c r="I26" s="403"/>
      <c r="J26" s="404"/>
    </row>
    <row r="27" spans="1:10">
      <c r="A27" s="224" t="s">
        <v>42</v>
      </c>
      <c r="C27" s="403">
        <v>2.8927999999999998</v>
      </c>
      <c r="D27" s="404">
        <v>2804.3</v>
      </c>
      <c r="G27" s="405"/>
      <c r="H27" s="402"/>
      <c r="I27" s="403"/>
      <c r="J27" s="404"/>
    </row>
    <row r="28" spans="1:10">
      <c r="A28" s="224" t="s">
        <v>46</v>
      </c>
      <c r="C28" s="403">
        <v>2.8927999999999998</v>
      </c>
      <c r="D28" s="404">
        <v>2804.3</v>
      </c>
      <c r="G28" s="405"/>
      <c r="H28" s="402"/>
      <c r="I28" s="403"/>
      <c r="J28" s="404"/>
    </row>
    <row r="29" spans="1:10">
      <c r="A29" s="224" t="s">
        <v>55</v>
      </c>
      <c r="C29" s="403">
        <v>2.8927999999999998</v>
      </c>
      <c r="D29" s="404">
        <v>2804.3</v>
      </c>
      <c r="G29" s="405"/>
      <c r="H29" s="402"/>
      <c r="I29" s="403"/>
      <c r="J29" s="404"/>
    </row>
    <row r="30" spans="1:10">
      <c r="A30" s="224" t="s">
        <v>150</v>
      </c>
      <c r="C30" s="403">
        <v>2.8927999999999998</v>
      </c>
      <c r="D30" s="404">
        <v>2804.3</v>
      </c>
      <c r="G30" s="405"/>
      <c r="H30" s="402"/>
      <c r="I30" s="403"/>
      <c r="J30" s="404"/>
    </row>
    <row r="31" spans="1:10">
      <c r="A31" s="224" t="s">
        <v>52</v>
      </c>
      <c r="C31" s="403">
        <v>2.7606999999999999</v>
      </c>
      <c r="D31" s="404">
        <v>3003.26</v>
      </c>
      <c r="G31" s="405"/>
      <c r="H31" s="402"/>
      <c r="I31" s="403"/>
      <c r="J31" s="404"/>
    </row>
    <row r="32" spans="1:10">
      <c r="A32" s="224"/>
      <c r="C32" s="403"/>
      <c r="D32" s="402"/>
      <c r="G32" s="405"/>
      <c r="H32" s="402"/>
      <c r="I32" s="403"/>
      <c r="J32" s="402"/>
    </row>
    <row r="33" spans="1:10">
      <c r="A33" s="223" t="s">
        <v>105</v>
      </c>
      <c r="C33" s="403">
        <v>2.7538999999999998</v>
      </c>
      <c r="D33" s="404">
        <v>1838.73</v>
      </c>
      <c r="G33" s="406"/>
      <c r="H33" s="402"/>
      <c r="I33" s="403"/>
      <c r="J33" s="404"/>
    </row>
    <row r="34" spans="1:10">
      <c r="A34" s="223" t="s">
        <v>104</v>
      </c>
      <c r="C34" s="403">
        <v>2.0266000000000002</v>
      </c>
      <c r="D34" s="404">
        <v>1838.73</v>
      </c>
      <c r="G34" s="406"/>
      <c r="H34" s="402"/>
      <c r="I34" s="403"/>
      <c r="J34" s="404"/>
    </row>
    <row r="35" spans="1:10">
      <c r="G35" s="406"/>
      <c r="H35" s="402"/>
      <c r="I35" s="419"/>
      <c r="J35" s="419"/>
    </row>
    <row r="36" spans="1:10">
      <c r="G36" s="406"/>
      <c r="H36" s="402"/>
      <c r="I36" s="403"/>
      <c r="J36" s="404"/>
    </row>
    <row r="37" spans="1:10">
      <c r="G37" s="406"/>
      <c r="H37" s="402"/>
      <c r="I37" s="403"/>
      <c r="J37" s="404"/>
    </row>
  </sheetData>
  <sheetProtection password="F4F5" sheet="1" objects="1" scenarios="1" selectLockedCells="1" selectUnlockedCells="1"/>
  <mergeCells count="1">
    <mergeCell ref="C4:D4"/>
  </mergeCells>
  <printOptions horizontalCentered="1" verticalCentered="1"/>
  <pageMargins left="0.75" right="0.75" top="1" bottom="1" header="0" footer="0"/>
  <pageSetup orientation="landscape" r:id="rId1"/>
  <headerFooter alignWithMargins="0"/>
</worksheet>
</file>

<file path=xl/worksheets/sheet27.xml><?xml version="1.0" encoding="utf-8"?>
<worksheet xmlns="http://schemas.openxmlformats.org/spreadsheetml/2006/main" xmlns:r="http://schemas.openxmlformats.org/officeDocument/2006/relationships">
  <sheetPr codeName="Hoja26">
    <pageSetUpPr fitToPage="1"/>
  </sheetPr>
  <dimension ref="A2:X70"/>
  <sheetViews>
    <sheetView topLeftCell="Y1" workbookViewId="0">
      <selection activeCell="X1" sqref="A1:X65536"/>
    </sheetView>
  </sheetViews>
  <sheetFormatPr baseColWidth="10" defaultColWidth="9.33203125" defaultRowHeight="12.75"/>
  <cols>
    <col min="1" max="2" width="12" style="175" hidden="1" customWidth="1"/>
    <col min="3" max="3" width="2.33203125" style="175" hidden="1" customWidth="1"/>
    <col min="4" max="24" width="9.33203125" style="175" hidden="1" customWidth="1"/>
    <col min="25" max="16384" width="9.33203125" style="175"/>
  </cols>
  <sheetData>
    <row r="2" spans="1:19" ht="18">
      <c r="A2" s="240" t="s">
        <v>25</v>
      </c>
      <c r="B2" s="239"/>
      <c r="D2" s="235"/>
      <c r="M2" s="1" t="s">
        <v>25</v>
      </c>
      <c r="N2" s="2"/>
    </row>
    <row r="3" spans="1:19" ht="18">
      <c r="A3" s="240" t="s">
        <v>26</v>
      </c>
      <c r="B3" s="239"/>
      <c r="D3" s="235"/>
      <c r="M3" s="1" t="s">
        <v>26</v>
      </c>
      <c r="N3" s="2"/>
    </row>
    <row r="4" spans="1:19" ht="13.5" thickBot="1">
      <c r="A4" s="238"/>
      <c r="B4" s="237"/>
      <c r="C4" s="236"/>
      <c r="D4" s="236"/>
      <c r="M4" s="4"/>
      <c r="N4" s="5"/>
    </row>
    <row r="5" spans="1:19" ht="13.5" thickTop="1">
      <c r="A5" s="235"/>
      <c r="B5" s="235"/>
      <c r="C5" s="235"/>
      <c r="M5" s="3"/>
      <c r="N5" s="3"/>
    </row>
    <row r="6" spans="1:19">
      <c r="M6"/>
      <c r="N6"/>
    </row>
    <row r="7" spans="1:19">
      <c r="M7"/>
      <c r="N7"/>
    </row>
    <row r="8" spans="1:19">
      <c r="A8" s="234" t="s">
        <v>27</v>
      </c>
      <c r="B8" s="234" t="s">
        <v>28</v>
      </c>
      <c r="M8" s="7" t="s">
        <v>27</v>
      </c>
      <c r="N8" s="7" t="s">
        <v>28</v>
      </c>
    </row>
    <row r="9" spans="1:19">
      <c r="A9" s="233" t="s">
        <v>29</v>
      </c>
      <c r="B9" s="233" t="s">
        <v>27</v>
      </c>
      <c r="M9" s="8" t="s">
        <v>29</v>
      </c>
      <c r="N9" s="8" t="s">
        <v>27</v>
      </c>
    </row>
    <row r="10" spans="1:19">
      <c r="A10" s="232"/>
      <c r="B10" s="232"/>
      <c r="M10" s="9"/>
      <c r="N10" s="9"/>
    </row>
    <row r="11" spans="1:19">
      <c r="A11" s="230">
        <v>1</v>
      </c>
      <c r="B11" s="228">
        <v>8.3299999999999999E-2</v>
      </c>
      <c r="C11" s="231"/>
      <c r="D11" s="227"/>
      <c r="E11" s="25"/>
      <c r="M11" s="23">
        <v>1</v>
      </c>
      <c r="N11" s="376">
        <v>0.10829999999999999</v>
      </c>
      <c r="O11" s="227"/>
      <c r="R11" s="23"/>
      <c r="S11" s="376"/>
    </row>
    <row r="12" spans="1:19">
      <c r="A12" s="230">
        <v>2</v>
      </c>
      <c r="B12" s="228">
        <v>0.16669999999999999</v>
      </c>
      <c r="C12" s="231"/>
      <c r="D12" s="227"/>
      <c r="E12" s="25"/>
      <c r="M12" s="23">
        <v>2</v>
      </c>
      <c r="N12" s="376">
        <v>0.2167</v>
      </c>
      <c r="O12" s="227"/>
      <c r="R12" s="23"/>
      <c r="S12" s="376"/>
    </row>
    <row r="13" spans="1:19">
      <c r="A13" s="230">
        <v>3</v>
      </c>
      <c r="B13" s="228">
        <v>0.25</v>
      </c>
      <c r="C13" s="231"/>
      <c r="D13" s="227"/>
      <c r="E13" s="25"/>
      <c r="M13" s="23">
        <v>3</v>
      </c>
      <c r="N13" s="376">
        <v>0.32500000000000001</v>
      </c>
      <c r="O13" s="227"/>
      <c r="R13" s="23"/>
      <c r="S13" s="376"/>
    </row>
    <row r="14" spans="1:19">
      <c r="A14" s="230">
        <v>4</v>
      </c>
      <c r="B14" s="228">
        <v>0.33329999999999999</v>
      </c>
      <c r="C14" s="231"/>
      <c r="D14" s="227"/>
      <c r="E14" s="25"/>
      <c r="M14" s="23">
        <v>4</v>
      </c>
      <c r="N14" s="376">
        <v>0.38329999999999997</v>
      </c>
      <c r="O14" s="227"/>
      <c r="R14" s="23"/>
      <c r="S14" s="376"/>
    </row>
    <row r="15" spans="1:19">
      <c r="A15" s="230">
        <v>5</v>
      </c>
      <c r="B15" s="228">
        <v>0.41670000000000001</v>
      </c>
      <c r="C15" s="231"/>
      <c r="D15" s="227"/>
      <c r="E15" s="25"/>
      <c r="M15" s="23">
        <v>5</v>
      </c>
      <c r="N15" s="376">
        <v>0.47920000000000001</v>
      </c>
      <c r="O15" s="227"/>
      <c r="R15" s="23"/>
      <c r="S15" s="376"/>
    </row>
    <row r="16" spans="1:19">
      <c r="A16" s="230">
        <v>6</v>
      </c>
      <c r="B16" s="228">
        <v>0.5</v>
      </c>
      <c r="C16" s="231"/>
      <c r="D16" s="227"/>
      <c r="E16" s="25"/>
      <c r="M16" s="23">
        <v>6</v>
      </c>
      <c r="N16" s="376">
        <v>0.57499999999999996</v>
      </c>
      <c r="O16" s="227"/>
      <c r="R16" s="23"/>
      <c r="S16" s="376"/>
    </row>
    <row r="17" spans="1:19">
      <c r="A17" s="230">
        <v>7</v>
      </c>
      <c r="B17" s="228">
        <v>0.58330000000000004</v>
      </c>
      <c r="C17" s="231"/>
      <c r="D17" s="227"/>
      <c r="E17" s="25"/>
      <c r="M17" s="23">
        <v>7</v>
      </c>
      <c r="N17" s="376">
        <v>0.58330000000000004</v>
      </c>
      <c r="O17" s="227"/>
      <c r="R17" s="23"/>
      <c r="S17" s="376"/>
    </row>
    <row r="18" spans="1:19">
      <c r="A18" s="230">
        <v>8</v>
      </c>
      <c r="B18" s="228">
        <v>0.66669999999999996</v>
      </c>
      <c r="C18" s="231"/>
      <c r="D18" s="227"/>
      <c r="E18" s="25"/>
      <c r="M18" s="23">
        <v>8</v>
      </c>
      <c r="N18" s="376">
        <v>0.66669999999999996</v>
      </c>
      <c r="O18" s="227"/>
      <c r="R18" s="23"/>
      <c r="S18" s="376"/>
    </row>
    <row r="19" spans="1:19">
      <c r="A19" s="230">
        <v>9</v>
      </c>
      <c r="B19" s="228">
        <v>0.75</v>
      </c>
      <c r="C19" s="231"/>
      <c r="D19" s="227"/>
      <c r="E19" s="25"/>
      <c r="M19" s="23">
        <v>9</v>
      </c>
      <c r="N19" s="376">
        <v>0.75</v>
      </c>
      <c r="O19" s="227"/>
      <c r="R19" s="23"/>
      <c r="S19" s="376"/>
    </row>
    <row r="20" spans="1:19">
      <c r="A20" s="230">
        <v>10</v>
      </c>
      <c r="B20" s="228">
        <v>0.83330000000000004</v>
      </c>
      <c r="C20" s="231"/>
      <c r="D20" s="227"/>
      <c r="E20" s="25"/>
      <c r="M20" s="23">
        <v>10</v>
      </c>
      <c r="N20" s="376">
        <v>0.83330000000000004</v>
      </c>
      <c r="O20" s="227"/>
      <c r="R20" s="23"/>
      <c r="S20" s="376"/>
    </row>
    <row r="21" spans="1:19">
      <c r="A21" s="230">
        <v>11</v>
      </c>
      <c r="B21" s="228">
        <v>0.91669999999999996</v>
      </c>
      <c r="C21" s="231"/>
      <c r="D21" s="227"/>
      <c r="E21" s="25"/>
      <c r="M21" s="23">
        <v>11</v>
      </c>
      <c r="N21" s="376">
        <v>0.91669999999999996</v>
      </c>
      <c r="O21" s="227"/>
      <c r="R21" s="23"/>
      <c r="S21" s="376"/>
    </row>
    <row r="22" spans="1:19">
      <c r="A22" s="229">
        <v>12</v>
      </c>
      <c r="B22" s="228">
        <v>1</v>
      </c>
      <c r="C22" s="231"/>
      <c r="D22" s="227"/>
      <c r="E22" s="25"/>
      <c r="M22" s="377">
        <v>12</v>
      </c>
      <c r="N22" s="376">
        <v>1</v>
      </c>
      <c r="O22" s="227"/>
      <c r="R22" s="377"/>
      <c r="S22" s="376"/>
    </row>
    <row r="23" spans="1:19">
      <c r="A23" s="230">
        <v>13</v>
      </c>
      <c r="B23" s="228">
        <v>1.1592</v>
      </c>
      <c r="C23" s="231"/>
      <c r="D23" s="227"/>
      <c r="E23" s="25"/>
      <c r="M23" s="23">
        <v>13</v>
      </c>
      <c r="N23" s="376">
        <v>1.0809</v>
      </c>
      <c r="O23" s="227"/>
      <c r="R23" s="23"/>
      <c r="S23" s="376"/>
    </row>
    <row r="24" spans="1:19">
      <c r="A24" s="230">
        <v>14</v>
      </c>
      <c r="B24" s="228">
        <v>1.2483</v>
      </c>
      <c r="C24" s="231"/>
      <c r="D24" s="227"/>
      <c r="E24" s="25"/>
      <c r="M24" s="23">
        <v>14</v>
      </c>
      <c r="N24" s="376">
        <v>1.1617999999999999</v>
      </c>
      <c r="O24" s="227"/>
      <c r="R24" s="23"/>
      <c r="S24" s="376"/>
    </row>
    <row r="25" spans="1:19">
      <c r="A25" s="230">
        <v>15</v>
      </c>
      <c r="B25" s="228">
        <v>1.3374999999999999</v>
      </c>
      <c r="C25" s="231"/>
      <c r="D25" s="227"/>
      <c r="E25" s="25"/>
      <c r="M25" s="23">
        <v>15</v>
      </c>
      <c r="N25" s="376">
        <v>1.2426999999999999</v>
      </c>
      <c r="O25" s="227"/>
      <c r="R25" s="23"/>
      <c r="S25" s="376"/>
    </row>
    <row r="26" spans="1:19">
      <c r="A26" s="230">
        <v>16</v>
      </c>
      <c r="B26" s="228">
        <v>1.4267000000000001</v>
      </c>
      <c r="C26" s="231"/>
      <c r="D26" s="227"/>
      <c r="E26" s="25"/>
      <c r="M26" s="23">
        <v>16</v>
      </c>
      <c r="N26" s="376">
        <v>1.3236000000000001</v>
      </c>
      <c r="O26" s="227"/>
      <c r="R26" s="23"/>
      <c r="S26" s="376"/>
    </row>
    <row r="27" spans="1:19">
      <c r="A27" s="230">
        <v>17</v>
      </c>
      <c r="B27" s="228">
        <v>1.5158</v>
      </c>
      <c r="C27" s="231"/>
      <c r="D27" s="227"/>
      <c r="E27" s="25"/>
      <c r="M27" s="23">
        <v>17</v>
      </c>
      <c r="N27" s="376">
        <v>1.4045000000000001</v>
      </c>
      <c r="O27" s="227"/>
      <c r="R27" s="23"/>
      <c r="S27" s="376"/>
    </row>
    <row r="28" spans="1:19">
      <c r="A28" s="230">
        <v>18</v>
      </c>
      <c r="B28" s="228">
        <v>1.605</v>
      </c>
      <c r="C28" s="231"/>
      <c r="D28" s="227"/>
      <c r="E28" s="25"/>
      <c r="M28" s="23">
        <v>18</v>
      </c>
      <c r="N28" s="376">
        <v>1.4854000000000001</v>
      </c>
      <c r="O28" s="227"/>
      <c r="R28" s="23"/>
      <c r="S28" s="376"/>
    </row>
    <row r="29" spans="1:19">
      <c r="A29" s="230">
        <v>19</v>
      </c>
      <c r="B29" s="228">
        <v>1.6941999999999999</v>
      </c>
      <c r="C29" s="231"/>
      <c r="D29" s="227"/>
      <c r="E29" s="25"/>
      <c r="M29" s="23">
        <v>19</v>
      </c>
      <c r="N29" s="376">
        <v>1.5663</v>
      </c>
      <c r="O29" s="227"/>
      <c r="R29" s="23"/>
      <c r="S29" s="376"/>
    </row>
    <row r="30" spans="1:19">
      <c r="A30" s="230">
        <v>20</v>
      </c>
      <c r="B30" s="228">
        <v>1.7833000000000001</v>
      </c>
      <c r="C30" s="231"/>
      <c r="D30" s="227"/>
      <c r="E30" s="25"/>
      <c r="M30" s="23">
        <v>20</v>
      </c>
      <c r="N30" s="376">
        <v>1.6472</v>
      </c>
      <c r="O30" s="227"/>
      <c r="R30" s="23"/>
      <c r="S30" s="376"/>
    </row>
    <row r="31" spans="1:19">
      <c r="A31" s="230">
        <v>21</v>
      </c>
      <c r="B31" s="228">
        <v>1.8725000000000001</v>
      </c>
      <c r="D31" s="227"/>
      <c r="E31" s="25"/>
      <c r="M31" s="23">
        <v>21</v>
      </c>
      <c r="N31" s="376">
        <v>1.7281</v>
      </c>
      <c r="O31" s="227"/>
      <c r="R31" s="23"/>
      <c r="S31" s="376"/>
    </row>
    <row r="32" spans="1:19">
      <c r="A32" s="230">
        <v>22</v>
      </c>
      <c r="B32" s="228">
        <v>1.9617</v>
      </c>
      <c r="D32" s="227"/>
      <c r="E32" s="25"/>
      <c r="M32" s="23">
        <v>22</v>
      </c>
      <c r="N32" s="376">
        <v>1.8089999999999999</v>
      </c>
      <c r="O32" s="227"/>
      <c r="R32" s="23"/>
      <c r="S32" s="376"/>
    </row>
    <row r="33" spans="1:19">
      <c r="A33" s="230">
        <v>23</v>
      </c>
      <c r="B33" s="228">
        <v>2.0508000000000002</v>
      </c>
      <c r="D33" s="227"/>
      <c r="E33" s="25"/>
      <c r="M33" s="23">
        <v>23</v>
      </c>
      <c r="N33" s="376">
        <v>1.8898999999999999</v>
      </c>
      <c r="O33" s="227"/>
      <c r="R33" s="23"/>
      <c r="S33" s="376"/>
    </row>
    <row r="34" spans="1:19">
      <c r="A34" s="229">
        <v>24</v>
      </c>
      <c r="B34" s="228">
        <v>2.14</v>
      </c>
      <c r="D34" s="227"/>
      <c r="E34" s="25"/>
      <c r="M34" s="377">
        <v>24</v>
      </c>
      <c r="N34" s="376">
        <v>1.9708000000000001</v>
      </c>
      <c r="O34" s="227"/>
      <c r="R34" s="377"/>
      <c r="S34" s="376"/>
    </row>
    <row r="35" spans="1:19">
      <c r="A35" s="230">
        <v>25</v>
      </c>
      <c r="B35" s="228">
        <v>2.3852000000000002</v>
      </c>
      <c r="D35" s="227"/>
      <c r="E35" s="25"/>
      <c r="M35" s="23">
        <v>25</v>
      </c>
      <c r="N35" s="376">
        <v>2.0493999999999999</v>
      </c>
      <c r="O35" s="227"/>
      <c r="R35" s="23"/>
      <c r="S35" s="376"/>
    </row>
    <row r="36" spans="1:19">
      <c r="A36" s="230">
        <v>26</v>
      </c>
      <c r="B36" s="228">
        <v>2.4805999999999999</v>
      </c>
      <c r="D36" s="227"/>
      <c r="E36" s="25"/>
      <c r="M36" s="23">
        <v>26</v>
      </c>
      <c r="N36" s="376">
        <v>2.1278999999999999</v>
      </c>
      <c r="O36" s="227"/>
      <c r="R36" s="23"/>
      <c r="S36" s="376"/>
    </row>
    <row r="37" spans="1:19">
      <c r="A37" s="230">
        <v>27</v>
      </c>
      <c r="B37" s="228">
        <v>2.5760000000000001</v>
      </c>
      <c r="D37" s="227"/>
      <c r="E37" s="25"/>
      <c r="M37" s="23">
        <v>27</v>
      </c>
      <c r="N37" s="376">
        <v>2.2065000000000001</v>
      </c>
      <c r="O37" s="227"/>
      <c r="R37" s="23"/>
      <c r="S37" s="376"/>
    </row>
    <row r="38" spans="1:19">
      <c r="A38" s="230">
        <v>28</v>
      </c>
      <c r="B38" s="228">
        <v>2.6714000000000002</v>
      </c>
      <c r="D38" s="227"/>
      <c r="E38" s="25"/>
      <c r="M38" s="23">
        <v>28</v>
      </c>
      <c r="N38" s="376">
        <v>2.2850000000000001</v>
      </c>
      <c r="O38" s="227"/>
      <c r="R38" s="23"/>
      <c r="S38" s="376"/>
    </row>
    <row r="39" spans="1:19">
      <c r="A39" s="230">
        <v>29</v>
      </c>
      <c r="B39" s="228">
        <v>2.7667999999999999</v>
      </c>
      <c r="D39" s="227"/>
      <c r="E39" s="25"/>
      <c r="M39" s="23">
        <v>29</v>
      </c>
      <c r="N39" s="376">
        <v>2.3635999999999999</v>
      </c>
      <c r="O39" s="227"/>
      <c r="R39" s="23"/>
      <c r="S39" s="376"/>
    </row>
    <row r="40" spans="1:19">
      <c r="A40" s="230">
        <v>30</v>
      </c>
      <c r="B40" s="228">
        <v>2.8622999999999998</v>
      </c>
      <c r="D40" s="227"/>
      <c r="E40" s="25"/>
      <c r="M40" s="23">
        <v>30</v>
      </c>
      <c r="N40" s="376">
        <v>2.4420999999999999</v>
      </c>
      <c r="O40" s="227"/>
      <c r="R40" s="23"/>
      <c r="S40" s="376"/>
    </row>
    <row r="41" spans="1:19">
      <c r="A41" s="230">
        <v>31</v>
      </c>
      <c r="B41" s="228">
        <v>2.9577</v>
      </c>
      <c r="D41" s="227"/>
      <c r="E41" s="25"/>
      <c r="M41" s="23">
        <v>31</v>
      </c>
      <c r="N41" s="376">
        <v>2.5207000000000002</v>
      </c>
      <c r="O41" s="227"/>
      <c r="R41" s="23"/>
      <c r="S41" s="376"/>
    </row>
    <row r="42" spans="1:19">
      <c r="A42" s="230">
        <v>32</v>
      </c>
      <c r="B42" s="228">
        <v>3.0531000000000001</v>
      </c>
      <c r="D42" s="227"/>
      <c r="E42" s="25"/>
      <c r="M42" s="23">
        <v>32</v>
      </c>
      <c r="N42" s="376">
        <v>2.5992000000000002</v>
      </c>
      <c r="O42" s="227"/>
      <c r="R42" s="23"/>
      <c r="S42" s="376"/>
    </row>
    <row r="43" spans="1:19">
      <c r="A43" s="230">
        <v>33</v>
      </c>
      <c r="B43" s="228">
        <v>3.1484999999999999</v>
      </c>
      <c r="D43" s="227"/>
      <c r="E43" s="25"/>
      <c r="M43" s="23">
        <v>33</v>
      </c>
      <c r="N43" s="376">
        <v>2.6777000000000002</v>
      </c>
      <c r="O43" s="227"/>
      <c r="R43" s="23"/>
      <c r="S43" s="376"/>
    </row>
    <row r="44" spans="1:19">
      <c r="A44" s="230">
        <v>34</v>
      </c>
      <c r="B44" s="228">
        <v>3.2439</v>
      </c>
      <c r="D44" s="227"/>
      <c r="E44" s="25"/>
      <c r="M44" s="23">
        <v>34</v>
      </c>
      <c r="N44" s="376">
        <v>2.7563</v>
      </c>
      <c r="O44" s="227"/>
      <c r="R44" s="23"/>
      <c r="S44" s="376"/>
    </row>
    <row r="45" spans="1:19">
      <c r="A45" s="230">
        <v>35</v>
      </c>
      <c r="B45" s="228">
        <v>3.3393000000000002</v>
      </c>
      <c r="D45" s="227"/>
      <c r="E45" s="25"/>
      <c r="M45" s="23">
        <v>35</v>
      </c>
      <c r="N45" s="376">
        <v>2.8348</v>
      </c>
      <c r="O45" s="227"/>
      <c r="R45" s="23"/>
      <c r="S45" s="376"/>
    </row>
    <row r="46" spans="1:19">
      <c r="A46" s="229">
        <v>36</v>
      </c>
      <c r="B46" s="228">
        <v>3.4346999999999999</v>
      </c>
      <c r="D46" s="227"/>
      <c r="E46" s="25"/>
      <c r="M46" s="377">
        <v>36</v>
      </c>
      <c r="N46" s="376">
        <v>2.9134000000000002</v>
      </c>
      <c r="O46" s="227"/>
      <c r="R46" s="377"/>
      <c r="S46" s="376"/>
    </row>
    <row r="47" spans="1:19">
      <c r="A47" s="230">
        <v>37</v>
      </c>
      <c r="B47" s="228">
        <v>3.7772000000000001</v>
      </c>
      <c r="D47" s="227"/>
      <c r="E47" s="25"/>
      <c r="M47" s="23">
        <v>37</v>
      </c>
      <c r="N47" s="376">
        <v>2.9895999999999998</v>
      </c>
      <c r="O47" s="227"/>
      <c r="R47" s="23"/>
      <c r="S47" s="376"/>
    </row>
    <row r="48" spans="1:19">
      <c r="A48" s="230">
        <v>38</v>
      </c>
      <c r="B48" s="228">
        <v>3.8793000000000002</v>
      </c>
      <c r="D48" s="227"/>
      <c r="E48" s="25"/>
      <c r="M48" s="23">
        <v>38</v>
      </c>
      <c r="N48" s="376">
        <v>3.0659000000000001</v>
      </c>
      <c r="O48" s="227"/>
      <c r="R48" s="23"/>
      <c r="S48" s="376"/>
    </row>
    <row r="49" spans="1:19">
      <c r="A49" s="230">
        <v>39</v>
      </c>
      <c r="B49" s="228">
        <v>3.9813999999999998</v>
      </c>
      <c r="D49" s="227"/>
      <c r="E49" s="25"/>
      <c r="M49" s="23">
        <v>39</v>
      </c>
      <c r="N49" s="376">
        <v>3.1421000000000001</v>
      </c>
      <c r="O49" s="227"/>
      <c r="R49" s="23"/>
      <c r="S49" s="376"/>
    </row>
    <row r="50" spans="1:19">
      <c r="A50" s="230">
        <v>40</v>
      </c>
      <c r="B50" s="228">
        <v>4.0834999999999999</v>
      </c>
      <c r="D50" s="227"/>
      <c r="E50" s="25"/>
      <c r="M50" s="23">
        <v>40</v>
      </c>
      <c r="N50" s="376">
        <v>3.2183999999999999</v>
      </c>
      <c r="O50" s="227"/>
      <c r="R50" s="23"/>
      <c r="S50" s="376"/>
    </row>
    <row r="51" spans="1:19">
      <c r="A51" s="230">
        <v>41</v>
      </c>
      <c r="B51" s="228">
        <v>4.1856</v>
      </c>
      <c r="D51" s="227"/>
      <c r="E51" s="25"/>
      <c r="M51" s="23">
        <v>41</v>
      </c>
      <c r="N51" s="376">
        <v>3.2946</v>
      </c>
      <c r="O51" s="227"/>
      <c r="R51" s="23"/>
      <c r="S51" s="376"/>
    </row>
    <row r="52" spans="1:19">
      <c r="A52" s="230">
        <v>42</v>
      </c>
      <c r="B52" s="228">
        <v>4.2877000000000001</v>
      </c>
      <c r="D52" s="227"/>
      <c r="E52" s="25"/>
      <c r="M52" s="23">
        <v>42</v>
      </c>
      <c r="N52" s="376">
        <v>3.3708999999999998</v>
      </c>
      <c r="O52" s="227"/>
      <c r="R52" s="23"/>
      <c r="S52" s="376"/>
    </row>
    <row r="53" spans="1:19">
      <c r="A53" s="230">
        <v>43</v>
      </c>
      <c r="B53" s="228">
        <v>4.3897000000000004</v>
      </c>
      <c r="D53" s="227"/>
      <c r="E53" s="25"/>
      <c r="M53" s="23">
        <v>43</v>
      </c>
      <c r="N53" s="376">
        <v>3.4470999999999998</v>
      </c>
      <c r="O53" s="227"/>
      <c r="R53" s="23"/>
      <c r="S53" s="376"/>
    </row>
    <row r="54" spans="1:19">
      <c r="A54" s="230">
        <v>44</v>
      </c>
      <c r="B54" s="228">
        <v>4.4917999999999996</v>
      </c>
      <c r="D54" s="227"/>
      <c r="E54" s="25"/>
      <c r="M54" s="23">
        <v>44</v>
      </c>
      <c r="N54" s="376">
        <v>3.5234000000000001</v>
      </c>
      <c r="O54" s="227"/>
      <c r="R54" s="23"/>
      <c r="S54" s="376"/>
    </row>
    <row r="55" spans="1:19">
      <c r="A55" s="230">
        <v>45</v>
      </c>
      <c r="B55" s="228">
        <v>4.5938999999999997</v>
      </c>
      <c r="D55" s="227"/>
      <c r="E55" s="25"/>
      <c r="M55" s="23">
        <v>45</v>
      </c>
      <c r="N55" s="376">
        <v>3.5996999999999999</v>
      </c>
      <c r="O55" s="227"/>
      <c r="R55" s="23"/>
      <c r="S55" s="376"/>
    </row>
    <row r="56" spans="1:19">
      <c r="A56" s="230">
        <v>46</v>
      </c>
      <c r="B56" s="228">
        <v>4.6959999999999997</v>
      </c>
      <c r="D56" s="227"/>
      <c r="E56" s="25"/>
      <c r="M56" s="23">
        <v>46</v>
      </c>
      <c r="N56" s="376">
        <v>3.6758999999999999</v>
      </c>
      <c r="O56" s="227"/>
      <c r="R56" s="23"/>
      <c r="S56" s="376"/>
    </row>
    <row r="57" spans="1:19">
      <c r="A57" s="230">
        <v>47</v>
      </c>
      <c r="B57" s="228">
        <v>4.7980999999999998</v>
      </c>
      <c r="D57" s="227"/>
      <c r="E57" s="25"/>
      <c r="M57" s="23">
        <v>47</v>
      </c>
      <c r="N57" s="376">
        <v>3.7522000000000002</v>
      </c>
      <c r="O57" s="227"/>
      <c r="R57" s="23"/>
      <c r="S57" s="376"/>
    </row>
    <row r="58" spans="1:19">
      <c r="A58" s="229">
        <v>48</v>
      </c>
      <c r="B58" s="228">
        <v>4.9001999999999999</v>
      </c>
      <c r="D58" s="227"/>
      <c r="E58" s="25"/>
      <c r="M58" s="377">
        <v>48</v>
      </c>
      <c r="N58" s="376">
        <v>3.8283999999999998</v>
      </c>
      <c r="O58" s="227"/>
      <c r="R58" s="377"/>
      <c r="S58" s="376"/>
    </row>
    <row r="59" spans="1:19">
      <c r="A59" s="230">
        <v>49</v>
      </c>
      <c r="B59" s="228">
        <v>5.3524000000000003</v>
      </c>
      <c r="D59" s="227"/>
      <c r="E59" s="25"/>
      <c r="M59" s="23">
        <v>49</v>
      </c>
      <c r="N59" s="376">
        <v>3.9024000000000001</v>
      </c>
      <c r="O59" s="227"/>
      <c r="R59" s="23"/>
      <c r="S59" s="376"/>
    </row>
    <row r="60" spans="1:19">
      <c r="A60" s="230">
        <v>50</v>
      </c>
      <c r="B60" s="228">
        <v>5.4617000000000004</v>
      </c>
      <c r="D60" s="227"/>
      <c r="E60" s="25"/>
      <c r="M60" s="23">
        <v>50</v>
      </c>
      <c r="N60" s="376">
        <v>3.9765000000000001</v>
      </c>
      <c r="O60" s="227"/>
      <c r="R60" s="23"/>
      <c r="S60" s="376"/>
    </row>
    <row r="61" spans="1:19">
      <c r="A61" s="230">
        <v>51</v>
      </c>
      <c r="B61" s="228">
        <v>5.5709</v>
      </c>
      <c r="D61" s="227"/>
      <c r="E61" s="25"/>
      <c r="M61" s="23">
        <v>51</v>
      </c>
      <c r="N61" s="376">
        <v>4.0505000000000004</v>
      </c>
      <c r="O61" s="227"/>
      <c r="R61" s="23"/>
      <c r="S61" s="376"/>
    </row>
    <row r="62" spans="1:19">
      <c r="A62" s="230">
        <v>52</v>
      </c>
      <c r="B62" s="228">
        <v>5.6801000000000004</v>
      </c>
      <c r="D62" s="227"/>
      <c r="E62" s="25"/>
      <c r="M62" s="23">
        <v>52</v>
      </c>
      <c r="N62" s="376">
        <v>4.1245000000000003</v>
      </c>
      <c r="O62" s="227"/>
      <c r="R62" s="23"/>
      <c r="S62" s="376"/>
    </row>
    <row r="63" spans="1:19">
      <c r="A63" s="230">
        <v>53</v>
      </c>
      <c r="B63" s="228">
        <v>5.7892999999999999</v>
      </c>
      <c r="D63" s="227"/>
      <c r="E63" s="25"/>
      <c r="M63" s="23">
        <v>53</v>
      </c>
      <c r="N63" s="376">
        <v>4.1985999999999999</v>
      </c>
      <c r="O63" s="227"/>
      <c r="R63" s="23"/>
      <c r="S63" s="376"/>
    </row>
    <row r="64" spans="1:19">
      <c r="A64" s="230">
        <v>54</v>
      </c>
      <c r="B64" s="228">
        <v>5.8986000000000001</v>
      </c>
      <c r="D64" s="227"/>
      <c r="E64" s="25"/>
      <c r="M64" s="23">
        <v>54</v>
      </c>
      <c r="N64" s="376">
        <v>4.2725999999999997</v>
      </c>
      <c r="O64" s="227"/>
      <c r="R64" s="23"/>
      <c r="S64" s="376"/>
    </row>
    <row r="65" spans="1:19">
      <c r="A65" s="230">
        <v>55</v>
      </c>
      <c r="B65" s="228">
        <v>6.0077999999999996</v>
      </c>
      <c r="D65" s="227"/>
      <c r="E65" s="25"/>
      <c r="M65" s="23">
        <v>55</v>
      </c>
      <c r="N65" s="376">
        <v>4.3465999999999996</v>
      </c>
      <c r="O65" s="227"/>
      <c r="R65" s="23"/>
      <c r="S65" s="376"/>
    </row>
    <row r="66" spans="1:19">
      <c r="A66" s="230">
        <v>56</v>
      </c>
      <c r="B66" s="228">
        <v>6.117</v>
      </c>
      <c r="D66" s="227"/>
      <c r="E66" s="25"/>
      <c r="M66" s="23">
        <v>56</v>
      </c>
      <c r="N66" s="376">
        <v>4.4207000000000001</v>
      </c>
      <c r="O66" s="227"/>
      <c r="R66" s="23"/>
      <c r="S66" s="376"/>
    </row>
    <row r="67" spans="1:19">
      <c r="A67" s="230">
        <v>57</v>
      </c>
      <c r="B67" s="228">
        <v>6.2263000000000002</v>
      </c>
      <c r="D67" s="227"/>
      <c r="E67" s="25"/>
      <c r="M67" s="23">
        <v>57</v>
      </c>
      <c r="N67" s="376">
        <v>4.4946999999999999</v>
      </c>
      <c r="O67" s="227"/>
      <c r="R67" s="23"/>
      <c r="S67" s="376"/>
    </row>
    <row r="68" spans="1:19">
      <c r="A68" s="230">
        <v>58</v>
      </c>
      <c r="B68" s="228">
        <v>6.3354999999999997</v>
      </c>
      <c r="D68" s="227"/>
      <c r="E68" s="25"/>
      <c r="M68" s="23">
        <v>58</v>
      </c>
      <c r="N68" s="376">
        <v>4.5686999999999998</v>
      </c>
      <c r="O68" s="227"/>
      <c r="R68" s="23"/>
      <c r="S68" s="376"/>
    </row>
    <row r="69" spans="1:19">
      <c r="A69" s="230">
        <v>59</v>
      </c>
      <c r="B69" s="228">
        <v>6.4447000000000001</v>
      </c>
      <c r="D69" s="227"/>
      <c r="E69" s="25"/>
      <c r="M69" s="23">
        <v>59</v>
      </c>
      <c r="N69" s="376">
        <v>4.6428000000000003</v>
      </c>
      <c r="O69" s="227"/>
      <c r="R69" s="23"/>
      <c r="S69" s="376"/>
    </row>
    <row r="70" spans="1:19">
      <c r="A70" s="229">
        <v>60</v>
      </c>
      <c r="B70" s="228">
        <v>6.5540000000000003</v>
      </c>
      <c r="D70" s="227"/>
      <c r="E70" s="25"/>
      <c r="M70" s="377">
        <v>60</v>
      </c>
      <c r="N70" s="376">
        <v>4.7168000000000001</v>
      </c>
      <c r="O70" s="227"/>
      <c r="R70" s="377"/>
      <c r="S70" s="376"/>
    </row>
  </sheetData>
  <sheetProtection password="F4F5" sheet="1" objects="1" scenarios="1" selectLockedCells="1" selectUnlockedCells="1"/>
  <printOptions horizontalCentered="1" verticalCentered="1"/>
  <pageMargins left="0.78740157480314965" right="0.78740157480314965" top="0.98425196850393704" bottom="0.98425196850393704" header="0" footer="0"/>
  <pageSetup scale="80" orientation="portrait" r:id="rId1"/>
  <headerFooter alignWithMargins="0"/>
</worksheet>
</file>

<file path=xl/worksheets/sheet28.xml><?xml version="1.0" encoding="utf-8"?>
<worksheet xmlns="http://schemas.openxmlformats.org/spreadsheetml/2006/main" xmlns:r="http://schemas.openxmlformats.org/officeDocument/2006/relationships">
  <sheetPr codeName="Hoja27">
    <pageSetUpPr fitToPage="1"/>
  </sheetPr>
  <dimension ref="A4:M74"/>
  <sheetViews>
    <sheetView topLeftCell="B6" workbookViewId="0">
      <pane xSplit="1" ySplit="8" topLeftCell="C14" activePane="bottomRight" state="frozen"/>
      <selection activeCell="A16" sqref="A16"/>
      <selection pane="topRight" activeCell="A16" sqref="A16"/>
      <selection pane="bottomLeft" activeCell="A16" sqref="A16"/>
      <selection pane="bottomRight" activeCell="M6" sqref="B1:M65536"/>
    </sheetView>
  </sheetViews>
  <sheetFormatPr baseColWidth="10" defaultColWidth="9.33203125" defaultRowHeight="12.75"/>
  <cols>
    <col min="1" max="1" width="15" style="175" hidden="1" customWidth="1"/>
    <col min="2" max="2" width="16.1640625" style="175" hidden="1" customWidth="1"/>
    <col min="3" max="4" width="12" style="175" hidden="1" customWidth="1"/>
    <col min="5" max="5" width="13" style="175" hidden="1" customWidth="1"/>
    <col min="6" max="6" width="12" style="175" hidden="1" customWidth="1"/>
    <col min="7" max="7" width="5.6640625" style="175" hidden="1" customWidth="1"/>
    <col min="8" max="13" width="9.33203125" style="175" hidden="1" customWidth="1"/>
    <col min="14" max="16384" width="9.33203125" style="175"/>
  </cols>
  <sheetData>
    <row r="4" spans="1:11" ht="23.25">
      <c r="B4" s="1011" t="s">
        <v>30</v>
      </c>
      <c r="C4" s="1011"/>
      <c r="D4" s="1011"/>
      <c r="E4" s="1011"/>
      <c r="F4" s="1011"/>
      <c r="G4" s="1011"/>
    </row>
    <row r="5" spans="1:11" ht="5.25" customHeight="1"/>
    <row r="6" spans="1:11" ht="15.75">
      <c r="B6" s="1012" t="s">
        <v>31</v>
      </c>
      <c r="C6" s="1012"/>
      <c r="D6" s="1012"/>
      <c r="E6" s="1012"/>
      <c r="F6" s="1012"/>
      <c r="G6" s="1012"/>
    </row>
    <row r="7" spans="1:11" s="246" customFormat="1" ht="3.75" customHeight="1"/>
    <row r="8" spans="1:11">
      <c r="A8" s="245"/>
    </row>
    <row r="9" spans="1:11" ht="6.75" customHeight="1"/>
    <row r="10" spans="1:11" ht="18">
      <c r="B10" s="171"/>
    </row>
    <row r="11" spans="1:11" ht="13.5" thickBot="1">
      <c r="C11" s="1016" t="s">
        <v>98</v>
      </c>
      <c r="D11" s="1016"/>
      <c r="E11" s="1016"/>
      <c r="F11" s="1016"/>
    </row>
    <row r="12" spans="1:11" ht="13.5" thickTop="1">
      <c r="A12" s="244" t="s">
        <v>34</v>
      </c>
      <c r="B12" s="169" t="s">
        <v>32</v>
      </c>
      <c r="C12" s="168" t="s">
        <v>33</v>
      </c>
      <c r="D12" s="168"/>
      <c r="E12" s="168"/>
      <c r="F12" s="167"/>
    </row>
    <row r="13" spans="1:11" ht="13.5" thickBot="1">
      <c r="A13" s="243"/>
      <c r="B13" s="165" t="s">
        <v>35</v>
      </c>
      <c r="C13" s="164" t="s">
        <v>36</v>
      </c>
      <c r="D13" s="164" t="s">
        <v>37</v>
      </c>
      <c r="E13" s="164" t="s">
        <v>38</v>
      </c>
      <c r="F13" s="163" t="s">
        <v>39</v>
      </c>
    </row>
    <row r="14" spans="1:11" ht="13.5" thickTop="1">
      <c r="C14" s="175">
        <v>360</v>
      </c>
      <c r="D14" s="175">
        <v>180</v>
      </c>
      <c r="E14" s="175">
        <v>90</v>
      </c>
      <c r="F14" s="175">
        <v>30</v>
      </c>
    </row>
    <row r="15" spans="1:11">
      <c r="A15" s="1013">
        <v>0.18</v>
      </c>
      <c r="B15" s="162">
        <v>1</v>
      </c>
      <c r="C15" s="241">
        <v>0</v>
      </c>
      <c r="D15" s="241">
        <v>0.05</v>
      </c>
      <c r="E15" s="241">
        <v>7.4999999999999997E-2</v>
      </c>
      <c r="F15" s="241">
        <v>0.09</v>
      </c>
      <c r="H15" s="242"/>
      <c r="I15" s="242"/>
      <c r="J15" s="242"/>
      <c r="K15" s="242"/>
    </row>
    <row r="16" spans="1:11">
      <c r="A16" s="1014"/>
      <c r="B16" s="162">
        <v>2</v>
      </c>
      <c r="C16" s="241">
        <v>0</v>
      </c>
      <c r="D16" s="241">
        <v>0.05</v>
      </c>
      <c r="E16" s="241">
        <v>7.4999999999999997E-2</v>
      </c>
      <c r="F16" s="241">
        <v>0.09</v>
      </c>
    </row>
    <row r="17" spans="1:6">
      <c r="A17" s="1014"/>
      <c r="B17" s="162">
        <v>3</v>
      </c>
      <c r="C17" s="241">
        <v>0</v>
      </c>
      <c r="D17" s="241">
        <v>0.05</v>
      </c>
      <c r="E17" s="241">
        <v>7.4999999999999997E-2</v>
      </c>
      <c r="F17" s="241">
        <v>0.09</v>
      </c>
    </row>
    <row r="18" spans="1:6">
      <c r="A18" s="1014"/>
      <c r="B18" s="162">
        <v>4</v>
      </c>
      <c r="C18" s="241">
        <v>0</v>
      </c>
      <c r="D18" s="241">
        <v>0.05</v>
      </c>
      <c r="E18" s="241">
        <v>7.4999999999999997E-2</v>
      </c>
      <c r="F18" s="241">
        <v>0.09</v>
      </c>
    </row>
    <row r="19" spans="1:6">
      <c r="A19" s="1014"/>
      <c r="B19" s="162">
        <v>5</v>
      </c>
      <c r="C19" s="241">
        <v>0</v>
      </c>
      <c r="D19" s="241">
        <v>0.05</v>
      </c>
      <c r="E19" s="241">
        <v>7.4999999999999997E-2</v>
      </c>
      <c r="F19" s="241">
        <v>0.09</v>
      </c>
    </row>
    <row r="20" spans="1:6">
      <c r="A20" s="1014"/>
      <c r="B20" s="162">
        <v>6</v>
      </c>
      <c r="C20" s="241"/>
      <c r="D20" s="241">
        <v>0.05</v>
      </c>
      <c r="E20" s="241">
        <v>7.4999999999999997E-2</v>
      </c>
      <c r="F20" s="241">
        <v>0.09</v>
      </c>
    </row>
    <row r="21" spans="1:6">
      <c r="A21" s="1014"/>
      <c r="B21" s="162">
        <v>7</v>
      </c>
      <c r="C21" s="241"/>
      <c r="D21" s="241">
        <v>0.05</v>
      </c>
      <c r="E21" s="241">
        <v>7.4999999999999997E-2</v>
      </c>
      <c r="F21" s="241">
        <v>0.09</v>
      </c>
    </row>
    <row r="22" spans="1:6">
      <c r="A22" s="1014"/>
      <c r="B22" s="162">
        <v>8</v>
      </c>
      <c r="C22" s="241"/>
      <c r="D22" s="241">
        <v>0.05</v>
      </c>
      <c r="E22" s="241">
        <v>7.4999999999999997E-2</v>
      </c>
      <c r="F22" s="241">
        <v>0.09</v>
      </c>
    </row>
    <row r="23" spans="1:6">
      <c r="A23" s="1014"/>
      <c r="B23" s="162">
        <v>9</v>
      </c>
      <c r="C23" s="241"/>
      <c r="D23" s="241">
        <v>0.05</v>
      </c>
      <c r="E23" s="241">
        <v>7.4999999999999997E-2</v>
      </c>
      <c r="F23" s="241">
        <v>0.09</v>
      </c>
    </row>
    <row r="24" spans="1:6">
      <c r="A24" s="1014"/>
      <c r="B24" s="162">
        <v>10</v>
      </c>
      <c r="C24" s="241"/>
      <c r="D24" s="241">
        <v>0.05</v>
      </c>
      <c r="E24" s="241">
        <v>7.4999999999999997E-2</v>
      </c>
      <c r="F24" s="241">
        <v>0.09</v>
      </c>
    </row>
    <row r="25" spans="1:6">
      <c r="A25" s="1014"/>
      <c r="B25" s="162">
        <v>11</v>
      </c>
      <c r="C25" s="241"/>
      <c r="D25" s="241"/>
      <c r="E25" s="241">
        <v>7.4999999999999997E-2</v>
      </c>
      <c r="F25" s="241">
        <v>0.09</v>
      </c>
    </row>
    <row r="26" spans="1:6">
      <c r="A26" s="1014"/>
      <c r="B26" s="162">
        <v>12</v>
      </c>
      <c r="C26" s="241"/>
      <c r="D26" s="241"/>
      <c r="E26" s="241">
        <v>7.4999999999999997E-2</v>
      </c>
      <c r="F26" s="241">
        <v>0.09</v>
      </c>
    </row>
    <row r="27" spans="1:6">
      <c r="A27" s="1014"/>
      <c r="B27" s="162">
        <v>13</v>
      </c>
      <c r="C27" s="241"/>
      <c r="D27" s="241"/>
      <c r="E27" s="241">
        <v>7.4999999999999997E-2</v>
      </c>
      <c r="F27" s="241">
        <v>0.09</v>
      </c>
    </row>
    <row r="28" spans="1:6">
      <c r="A28" s="1014"/>
      <c r="B28" s="162">
        <v>14</v>
      </c>
      <c r="C28" s="241"/>
      <c r="D28" s="241"/>
      <c r="E28" s="241">
        <v>7.4999999999999997E-2</v>
      </c>
      <c r="F28" s="241">
        <v>0.09</v>
      </c>
    </row>
    <row r="29" spans="1:6">
      <c r="A29" s="1014"/>
      <c r="B29" s="162">
        <v>15</v>
      </c>
      <c r="C29" s="241"/>
      <c r="D29" s="241"/>
      <c r="E29" s="241">
        <v>7.4999999999999997E-2</v>
      </c>
      <c r="F29" s="241">
        <v>0.09</v>
      </c>
    </row>
    <row r="30" spans="1:6">
      <c r="A30" s="1014"/>
      <c r="B30" s="162">
        <v>16</v>
      </c>
      <c r="C30" s="241"/>
      <c r="D30" s="241"/>
      <c r="E30" s="241">
        <v>7.4999999999999997E-2</v>
      </c>
      <c r="F30" s="241">
        <v>0.09</v>
      </c>
    </row>
    <row r="31" spans="1:6">
      <c r="A31" s="1014"/>
      <c r="B31" s="162">
        <v>17</v>
      </c>
      <c r="C31" s="241"/>
      <c r="D31" s="241"/>
      <c r="E31" s="241">
        <v>7.4999999999999997E-2</v>
      </c>
      <c r="F31" s="241">
        <v>0.09</v>
      </c>
    </row>
    <row r="32" spans="1:6">
      <c r="A32" s="1014"/>
      <c r="B32" s="162">
        <v>18</v>
      </c>
      <c r="C32" s="241"/>
      <c r="D32" s="241"/>
      <c r="E32" s="241">
        <v>7.4999999999999997E-2</v>
      </c>
      <c r="F32" s="241">
        <v>0.09</v>
      </c>
    </row>
    <row r="33" spans="1:6">
      <c r="A33" s="1014"/>
      <c r="B33" s="162">
        <v>19</v>
      </c>
      <c r="C33" s="241"/>
      <c r="D33" s="241"/>
      <c r="E33" s="241">
        <v>7.4999999999999997E-2</v>
      </c>
      <c r="F33" s="241">
        <v>0.09</v>
      </c>
    </row>
    <row r="34" spans="1:6">
      <c r="A34" s="1014"/>
      <c r="B34" s="162">
        <v>20</v>
      </c>
      <c r="C34" s="241"/>
      <c r="D34" s="241"/>
      <c r="E34" s="241">
        <v>7.4999999999999997E-2</v>
      </c>
      <c r="F34" s="241">
        <v>0.09</v>
      </c>
    </row>
    <row r="35" spans="1:6">
      <c r="A35" s="1014"/>
      <c r="B35" s="162">
        <v>21</v>
      </c>
      <c r="C35" s="241"/>
      <c r="D35" s="241"/>
      <c r="E35" s="241"/>
      <c r="F35" s="241">
        <v>0.09</v>
      </c>
    </row>
    <row r="36" spans="1:6">
      <c r="A36" s="1014"/>
      <c r="B36" s="162">
        <v>22</v>
      </c>
      <c r="C36" s="241"/>
      <c r="D36" s="241"/>
      <c r="E36" s="241"/>
      <c r="F36" s="241">
        <v>0.09</v>
      </c>
    </row>
    <row r="37" spans="1:6">
      <c r="A37" s="1014"/>
      <c r="B37" s="162">
        <v>23</v>
      </c>
      <c r="C37" s="241"/>
      <c r="D37" s="241"/>
      <c r="E37" s="241"/>
      <c r="F37" s="241">
        <v>0.09</v>
      </c>
    </row>
    <row r="38" spans="1:6">
      <c r="A38" s="1014"/>
      <c r="B38" s="162">
        <v>24</v>
      </c>
      <c r="C38" s="241"/>
      <c r="D38" s="241"/>
      <c r="E38" s="241"/>
      <c r="F38" s="241">
        <v>0.09</v>
      </c>
    </row>
    <row r="39" spans="1:6">
      <c r="A39" s="1014"/>
      <c r="B39" s="162">
        <v>25</v>
      </c>
      <c r="C39" s="241"/>
      <c r="D39" s="241"/>
      <c r="E39" s="241"/>
      <c r="F39" s="241">
        <v>0.09</v>
      </c>
    </row>
    <row r="40" spans="1:6">
      <c r="A40" s="1014"/>
      <c r="B40" s="162">
        <v>26</v>
      </c>
      <c r="C40" s="241"/>
      <c r="D40" s="241"/>
      <c r="E40" s="241"/>
      <c r="F40" s="241">
        <v>0.09</v>
      </c>
    </row>
    <row r="41" spans="1:6">
      <c r="A41" s="1014"/>
      <c r="B41" s="162">
        <v>27</v>
      </c>
      <c r="C41" s="241"/>
      <c r="D41" s="241"/>
      <c r="E41" s="241"/>
      <c r="F41" s="241">
        <v>0.09</v>
      </c>
    </row>
    <row r="42" spans="1:6">
      <c r="A42" s="1014"/>
      <c r="B42" s="162">
        <v>28</v>
      </c>
      <c r="C42" s="241"/>
      <c r="D42" s="241"/>
      <c r="E42" s="241"/>
      <c r="F42" s="241">
        <v>0.09</v>
      </c>
    </row>
    <row r="43" spans="1:6">
      <c r="A43" s="1014"/>
      <c r="B43" s="162">
        <v>29</v>
      </c>
      <c r="C43" s="241"/>
      <c r="D43" s="241"/>
      <c r="E43" s="241"/>
      <c r="F43" s="241">
        <v>0.09</v>
      </c>
    </row>
    <row r="44" spans="1:6">
      <c r="A44" s="1014"/>
      <c r="B44" s="162">
        <v>30</v>
      </c>
      <c r="C44" s="241"/>
      <c r="D44" s="241"/>
      <c r="E44" s="241"/>
      <c r="F44" s="241">
        <v>0.09</v>
      </c>
    </row>
    <row r="45" spans="1:6">
      <c r="A45" s="1014"/>
      <c r="B45" s="162">
        <v>31</v>
      </c>
      <c r="C45" s="241"/>
      <c r="D45" s="241"/>
      <c r="E45" s="241"/>
      <c r="F45" s="241">
        <v>0.09</v>
      </c>
    </row>
    <row r="46" spans="1:6">
      <c r="A46" s="1014"/>
      <c r="B46" s="162">
        <v>32</v>
      </c>
      <c r="C46" s="241"/>
      <c r="D46" s="241"/>
      <c r="E46" s="241"/>
      <c r="F46" s="241">
        <v>0.09</v>
      </c>
    </row>
    <row r="47" spans="1:6">
      <c r="A47" s="1014"/>
      <c r="B47" s="162">
        <v>33</v>
      </c>
      <c r="C47" s="241"/>
      <c r="D47" s="241"/>
      <c r="E47" s="241"/>
      <c r="F47" s="241">
        <v>0.09</v>
      </c>
    </row>
    <row r="48" spans="1:6">
      <c r="A48" s="1014"/>
      <c r="B48" s="162">
        <v>34</v>
      </c>
      <c r="C48" s="241"/>
      <c r="D48" s="241"/>
      <c r="E48" s="241"/>
      <c r="F48" s="241">
        <v>0.09</v>
      </c>
    </row>
    <row r="49" spans="1:6">
      <c r="A49" s="1014"/>
      <c r="B49" s="162">
        <v>35</v>
      </c>
      <c r="C49" s="241"/>
      <c r="D49" s="241"/>
      <c r="E49" s="241"/>
      <c r="F49" s="241">
        <v>0.09</v>
      </c>
    </row>
    <row r="50" spans="1:6">
      <c r="A50" s="1014"/>
      <c r="B50" s="162">
        <v>36</v>
      </c>
      <c r="C50" s="241"/>
      <c r="D50" s="241"/>
      <c r="E50" s="241"/>
      <c r="F50" s="241">
        <v>0.09</v>
      </c>
    </row>
    <row r="51" spans="1:6">
      <c r="A51" s="1014"/>
      <c r="B51" s="162">
        <v>37</v>
      </c>
      <c r="C51" s="241"/>
      <c r="D51" s="241"/>
      <c r="E51" s="241"/>
      <c r="F51" s="241">
        <v>0.09</v>
      </c>
    </row>
    <row r="52" spans="1:6">
      <c r="A52" s="1014"/>
      <c r="B52" s="162">
        <v>38</v>
      </c>
      <c r="C52" s="241"/>
      <c r="D52" s="241"/>
      <c r="E52" s="241"/>
      <c r="F52" s="241">
        <v>0.09</v>
      </c>
    </row>
    <row r="53" spans="1:6">
      <c r="A53" s="1014"/>
      <c r="B53" s="162">
        <v>39</v>
      </c>
      <c r="C53" s="241"/>
      <c r="D53" s="241"/>
      <c r="E53" s="241"/>
      <c r="F53" s="241">
        <v>0.09</v>
      </c>
    </row>
    <row r="54" spans="1:6">
      <c r="A54" s="1014"/>
      <c r="B54" s="162">
        <v>40</v>
      </c>
      <c r="C54" s="241"/>
      <c r="D54" s="241"/>
      <c r="E54" s="241"/>
      <c r="F54" s="241">
        <v>0.09</v>
      </c>
    </row>
    <row r="55" spans="1:6">
      <c r="A55" s="1014"/>
      <c r="B55" s="162">
        <v>41</v>
      </c>
      <c r="C55" s="241"/>
      <c r="D55" s="241"/>
      <c r="E55" s="241"/>
      <c r="F55" s="241">
        <v>0.09</v>
      </c>
    </row>
    <row r="56" spans="1:6">
      <c r="A56" s="1014"/>
      <c r="B56" s="162">
        <v>42</v>
      </c>
      <c r="C56" s="241"/>
      <c r="D56" s="241"/>
      <c r="E56" s="241"/>
      <c r="F56" s="241">
        <v>0.09</v>
      </c>
    </row>
    <row r="57" spans="1:6">
      <c r="A57" s="1014"/>
      <c r="B57" s="162">
        <v>43</v>
      </c>
      <c r="C57" s="241"/>
      <c r="D57" s="241"/>
      <c r="E57" s="241"/>
      <c r="F57" s="241">
        <v>0.09</v>
      </c>
    </row>
    <row r="58" spans="1:6">
      <c r="A58" s="1014"/>
      <c r="B58" s="162">
        <v>44</v>
      </c>
      <c r="C58" s="241"/>
      <c r="D58" s="241"/>
      <c r="E58" s="241"/>
      <c r="F58" s="241">
        <v>0.09</v>
      </c>
    </row>
    <row r="59" spans="1:6">
      <c r="A59" s="1014"/>
      <c r="B59" s="162">
        <v>45</v>
      </c>
      <c r="C59" s="241"/>
      <c r="D59" s="241"/>
      <c r="E59" s="241"/>
      <c r="F59" s="241">
        <v>0.09</v>
      </c>
    </row>
    <row r="60" spans="1:6">
      <c r="A60" s="1014"/>
      <c r="B60" s="162">
        <v>46</v>
      </c>
      <c r="C60" s="241"/>
      <c r="D60" s="241"/>
      <c r="E60" s="241"/>
      <c r="F60" s="241">
        <v>0.09</v>
      </c>
    </row>
    <row r="61" spans="1:6">
      <c r="A61" s="1014"/>
      <c r="B61" s="162">
        <v>47</v>
      </c>
      <c r="C61" s="241"/>
      <c r="D61" s="241"/>
      <c r="E61" s="241"/>
      <c r="F61" s="241">
        <v>0.09</v>
      </c>
    </row>
    <row r="62" spans="1:6">
      <c r="A62" s="1014"/>
      <c r="B62" s="162">
        <v>48</v>
      </c>
      <c r="C62" s="241"/>
      <c r="D62" s="241"/>
      <c r="E62" s="241"/>
      <c r="F62" s="241">
        <v>0.09</v>
      </c>
    </row>
    <row r="63" spans="1:6">
      <c r="A63" s="1014"/>
      <c r="B63" s="162">
        <v>49</v>
      </c>
      <c r="C63" s="241"/>
      <c r="D63" s="241"/>
      <c r="E63" s="241"/>
      <c r="F63" s="241">
        <v>0.09</v>
      </c>
    </row>
    <row r="64" spans="1:6">
      <c r="A64" s="1014"/>
      <c r="B64" s="162">
        <v>50</v>
      </c>
      <c r="C64" s="241"/>
      <c r="D64" s="241"/>
      <c r="E64" s="241"/>
      <c r="F64" s="241">
        <v>0.09</v>
      </c>
    </row>
    <row r="65" spans="1:6">
      <c r="A65" s="1014"/>
      <c r="B65" s="162">
        <v>51</v>
      </c>
      <c r="C65" s="241"/>
      <c r="D65" s="241"/>
      <c r="E65" s="241"/>
      <c r="F65" s="241">
        <v>0.09</v>
      </c>
    </row>
    <row r="66" spans="1:6">
      <c r="A66" s="1014"/>
      <c r="B66" s="162">
        <v>52</v>
      </c>
      <c r="C66" s="241"/>
      <c r="D66" s="241"/>
      <c r="E66" s="241"/>
      <c r="F66" s="241">
        <v>0.09</v>
      </c>
    </row>
    <row r="67" spans="1:6">
      <c r="A67" s="1014"/>
      <c r="B67" s="162">
        <v>53</v>
      </c>
      <c r="C67" s="241"/>
      <c r="D67" s="241"/>
      <c r="E67" s="241"/>
      <c r="F67" s="241">
        <v>0.09</v>
      </c>
    </row>
    <row r="68" spans="1:6">
      <c r="A68" s="1014"/>
      <c r="B68" s="162">
        <v>54</v>
      </c>
      <c r="C68" s="241"/>
      <c r="D68" s="241"/>
      <c r="E68" s="241"/>
      <c r="F68" s="241">
        <v>0.09</v>
      </c>
    </row>
    <row r="69" spans="1:6">
      <c r="A69" s="1014"/>
      <c r="B69" s="162">
        <v>55</v>
      </c>
      <c r="C69" s="241"/>
      <c r="D69" s="241"/>
      <c r="E69" s="241"/>
      <c r="F69" s="241">
        <v>0.09</v>
      </c>
    </row>
    <row r="70" spans="1:6">
      <c r="A70" s="1014"/>
      <c r="B70" s="162">
        <v>56</v>
      </c>
      <c r="C70" s="241"/>
      <c r="D70" s="241"/>
      <c r="E70" s="241"/>
      <c r="F70" s="241">
        <v>0.09</v>
      </c>
    </row>
    <row r="71" spans="1:6">
      <c r="A71" s="1014"/>
      <c r="B71" s="162">
        <v>57</v>
      </c>
      <c r="C71" s="241"/>
      <c r="D71" s="241"/>
      <c r="E71" s="241"/>
      <c r="F71" s="241">
        <v>0.09</v>
      </c>
    </row>
    <row r="72" spans="1:6">
      <c r="A72" s="1014"/>
      <c r="B72" s="162">
        <v>58</v>
      </c>
      <c r="C72" s="241"/>
      <c r="D72" s="241"/>
      <c r="E72" s="241"/>
      <c r="F72" s="241">
        <v>0.09</v>
      </c>
    </row>
    <row r="73" spans="1:6">
      <c r="A73" s="1014"/>
      <c r="B73" s="162">
        <v>59</v>
      </c>
      <c r="C73" s="241"/>
      <c r="D73" s="241"/>
      <c r="E73" s="241"/>
      <c r="F73" s="241">
        <v>0.09</v>
      </c>
    </row>
    <row r="74" spans="1:6">
      <c r="A74" s="1015"/>
      <c r="B74" s="162">
        <v>60</v>
      </c>
      <c r="C74" s="241"/>
      <c r="D74" s="241"/>
      <c r="E74" s="241"/>
      <c r="F74" s="241">
        <v>0.09</v>
      </c>
    </row>
  </sheetData>
  <sheetProtection password="F4F5" sheet="1" objects="1" scenarios="1" selectLockedCells="1" selectUnlockedCells="1"/>
  <mergeCells count="4">
    <mergeCell ref="B4:G4"/>
    <mergeCell ref="B6:G6"/>
    <mergeCell ref="A15:A74"/>
    <mergeCell ref="C11:F11"/>
  </mergeCells>
  <printOptions horizontalCentered="1" verticalCentered="1"/>
  <pageMargins left="0.78740157480314965" right="0.78740157480314965" top="0.39370078740157483" bottom="0.39370078740157483" header="0" footer="0"/>
  <pageSetup scale="9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sheetPr codeName="Hoja28">
    <pageSetUpPr fitToPage="1"/>
  </sheetPr>
  <dimension ref="A2:J37"/>
  <sheetViews>
    <sheetView topLeftCell="H4" workbookViewId="0">
      <selection activeCell="G4" sqref="A1:G65536"/>
    </sheetView>
  </sheetViews>
  <sheetFormatPr baseColWidth="10" defaultColWidth="9.33203125" defaultRowHeight="13.5"/>
  <cols>
    <col min="1" max="1" width="26.83203125" style="140" hidden="1" customWidth="1"/>
    <col min="2" max="2" width="1.33203125" style="140" hidden="1" customWidth="1"/>
    <col min="3" max="3" width="12.33203125" style="141" hidden="1" customWidth="1"/>
    <col min="4" max="4" width="20.6640625" style="141" hidden="1" customWidth="1"/>
    <col min="5" max="5" width="1.83203125" style="140" hidden="1" customWidth="1"/>
    <col min="6" max="6" width="9.33203125" style="140" hidden="1" customWidth="1"/>
    <col min="7" max="7" width="15.1640625" style="140" hidden="1" customWidth="1"/>
    <col min="8" max="16384" width="9.33203125" style="140"/>
  </cols>
  <sheetData>
    <row r="2" spans="1:10">
      <c r="A2" s="146"/>
      <c r="B2" s="146"/>
      <c r="C2" s="146"/>
      <c r="D2" s="146"/>
    </row>
    <row r="3" spans="1:10">
      <c r="C3" s="145"/>
      <c r="D3" s="145"/>
    </row>
    <row r="4" spans="1:10" ht="12.75" customHeight="1">
      <c r="C4" s="1017" t="s">
        <v>139</v>
      </c>
      <c r="D4" s="1017"/>
    </row>
    <row r="5" spans="1:10">
      <c r="C5" s="141" t="s">
        <v>85</v>
      </c>
      <c r="D5" s="141" t="s">
        <v>138</v>
      </c>
    </row>
    <row r="7" spans="1:10">
      <c r="A7" s="144" t="s">
        <v>129</v>
      </c>
      <c r="C7" s="403">
        <v>2.3473999999999999</v>
      </c>
      <c r="D7" s="404">
        <v>1838.73</v>
      </c>
      <c r="G7" s="401"/>
      <c r="H7" s="402"/>
      <c r="I7" s="403"/>
      <c r="J7" s="404"/>
    </row>
    <row r="8" spans="1:10">
      <c r="A8" s="143"/>
      <c r="C8" s="402"/>
      <c r="D8" s="402"/>
      <c r="G8" s="405"/>
      <c r="H8" s="402"/>
      <c r="I8" s="402"/>
      <c r="J8" s="402"/>
    </row>
    <row r="9" spans="1:10">
      <c r="A9" s="143" t="s">
        <v>15</v>
      </c>
      <c r="C9" s="403">
        <v>2.2881999999999998</v>
      </c>
      <c r="D9" s="404">
        <v>1838.73</v>
      </c>
      <c r="G9" s="405"/>
      <c r="H9" s="402"/>
      <c r="I9" s="403"/>
      <c r="J9" s="404"/>
    </row>
    <row r="10" spans="1:10">
      <c r="A10" s="142" t="s">
        <v>112</v>
      </c>
      <c r="C10" s="403">
        <v>2.5186000000000002</v>
      </c>
      <c r="D10" s="404">
        <v>1838.73</v>
      </c>
      <c r="G10" s="406"/>
      <c r="H10" s="402"/>
      <c r="I10" s="403"/>
      <c r="J10" s="404"/>
    </row>
    <row r="11" spans="1:10">
      <c r="A11" s="143" t="s">
        <v>13</v>
      </c>
      <c r="C11" s="403">
        <v>2.9087000000000001</v>
      </c>
      <c r="D11" s="404">
        <v>1838.73</v>
      </c>
      <c r="G11" s="405"/>
      <c r="H11" s="402"/>
      <c r="I11" s="403"/>
      <c r="J11" s="404"/>
    </row>
    <row r="12" spans="1:10">
      <c r="A12" s="143" t="s">
        <v>20</v>
      </c>
      <c r="C12" s="403">
        <v>2.9087000000000001</v>
      </c>
      <c r="D12" s="404">
        <v>1838.73</v>
      </c>
      <c r="G12" s="405"/>
      <c r="H12" s="402"/>
      <c r="I12" s="403"/>
      <c r="J12" s="404"/>
    </row>
    <row r="13" spans="1:10">
      <c r="A13" s="143" t="s">
        <v>154</v>
      </c>
      <c r="C13" s="403">
        <v>2.6143999999999998</v>
      </c>
      <c r="D13" s="404">
        <v>1838.73</v>
      </c>
      <c r="G13" s="405"/>
      <c r="H13" s="402"/>
      <c r="I13" s="403"/>
      <c r="J13" s="402"/>
    </row>
    <row r="14" spans="1:10">
      <c r="A14" s="143" t="s">
        <v>155</v>
      </c>
      <c r="C14" s="403">
        <v>2.6143999999999998</v>
      </c>
      <c r="D14" s="404">
        <v>1838.73</v>
      </c>
      <c r="G14" s="405"/>
      <c r="H14" s="402"/>
      <c r="I14" s="403"/>
      <c r="J14" s="404"/>
    </row>
    <row r="15" spans="1:10">
      <c r="A15" s="143" t="s">
        <v>50</v>
      </c>
      <c r="C15" s="403">
        <v>2.8927999999999998</v>
      </c>
      <c r="D15" s="404">
        <v>2804.3</v>
      </c>
      <c r="G15" s="405"/>
      <c r="H15" s="402"/>
      <c r="I15" s="403"/>
      <c r="J15" s="404"/>
    </row>
    <row r="16" spans="1:10">
      <c r="A16" s="143" t="s">
        <v>11</v>
      </c>
      <c r="C16" s="403">
        <v>3.1793999999999998</v>
      </c>
      <c r="D16" s="404">
        <v>1838.73</v>
      </c>
      <c r="G16" s="405"/>
      <c r="H16" s="402"/>
      <c r="I16" s="403"/>
      <c r="J16" s="404"/>
    </row>
    <row r="17" spans="1:10">
      <c r="A17" s="143" t="s">
        <v>17</v>
      </c>
      <c r="C17" s="403">
        <v>3.3008999999999999</v>
      </c>
      <c r="D17" s="404">
        <v>1838.73</v>
      </c>
      <c r="G17" s="405"/>
      <c r="H17" s="402"/>
      <c r="I17" s="403"/>
      <c r="J17" s="404"/>
    </row>
    <row r="18" spans="1:10">
      <c r="A18" s="143" t="s">
        <v>44</v>
      </c>
      <c r="C18" s="403">
        <v>2.8927999999999998</v>
      </c>
      <c r="D18" s="404">
        <v>2804.3</v>
      </c>
      <c r="G18" s="405"/>
      <c r="H18" s="402"/>
      <c r="I18" s="403"/>
      <c r="J18" s="404"/>
    </row>
    <row r="19" spans="1:10">
      <c r="A19" s="143" t="s">
        <v>151</v>
      </c>
      <c r="C19" s="403">
        <v>2.6143999999999998</v>
      </c>
      <c r="D19" s="404">
        <v>1838.73</v>
      </c>
      <c r="G19" s="405"/>
      <c r="H19" s="402"/>
      <c r="I19" s="403"/>
      <c r="J19" s="402"/>
    </row>
    <row r="20" spans="1:10">
      <c r="A20" s="143" t="s">
        <v>9</v>
      </c>
      <c r="C20" s="403">
        <v>2.7393999999999998</v>
      </c>
      <c r="D20" s="404">
        <v>1838.73</v>
      </c>
      <c r="G20" s="405"/>
      <c r="H20" s="402"/>
      <c r="I20" s="403"/>
      <c r="J20" s="404"/>
    </row>
    <row r="21" spans="1:10">
      <c r="A21" s="143" t="s">
        <v>107</v>
      </c>
      <c r="C21" s="403">
        <v>2.8927999999999998</v>
      </c>
      <c r="D21" s="404">
        <v>2804.3</v>
      </c>
      <c r="G21" s="406"/>
      <c r="H21" s="402"/>
      <c r="I21" s="403"/>
      <c r="J21" s="402"/>
    </row>
    <row r="22" spans="1:10">
      <c r="A22" s="143" t="s">
        <v>1</v>
      </c>
      <c r="C22" s="403">
        <v>2.7538999999999998</v>
      </c>
      <c r="D22" s="404">
        <v>1838.73</v>
      </c>
      <c r="G22" s="405"/>
      <c r="H22" s="402"/>
      <c r="I22" s="403"/>
      <c r="J22" s="404"/>
    </row>
    <row r="23" spans="1:10">
      <c r="A23" s="142"/>
      <c r="C23" s="403"/>
      <c r="D23" s="402"/>
      <c r="G23" s="406"/>
      <c r="H23" s="402"/>
      <c r="I23" s="403"/>
      <c r="J23" s="402"/>
    </row>
    <row r="24" spans="1:10">
      <c r="A24" s="142" t="s">
        <v>111</v>
      </c>
      <c r="C24" s="403">
        <v>2.8927999999999998</v>
      </c>
      <c r="D24" s="404">
        <v>2804.3</v>
      </c>
      <c r="G24" s="406"/>
      <c r="H24" s="402"/>
      <c r="I24" s="403"/>
      <c r="J24" s="404"/>
    </row>
    <row r="25" spans="1:10">
      <c r="A25" s="143"/>
      <c r="C25" s="403"/>
      <c r="D25" s="402"/>
      <c r="G25" s="405"/>
      <c r="H25" s="402"/>
      <c r="I25" s="403"/>
      <c r="J25" s="402"/>
    </row>
    <row r="26" spans="1:10">
      <c r="A26" s="143" t="s">
        <v>7</v>
      </c>
      <c r="C26" s="403">
        <v>3.927</v>
      </c>
      <c r="D26" s="404">
        <v>1838.73</v>
      </c>
      <c r="G26" s="405"/>
      <c r="H26" s="402"/>
      <c r="I26" s="403"/>
      <c r="J26" s="404"/>
    </row>
    <row r="27" spans="1:10">
      <c r="A27" s="143" t="s">
        <v>42</v>
      </c>
      <c r="C27" s="403">
        <v>2.8927999999999998</v>
      </c>
      <c r="D27" s="404">
        <v>2804.3</v>
      </c>
      <c r="G27" s="405"/>
      <c r="H27" s="402"/>
      <c r="I27" s="403"/>
      <c r="J27" s="404"/>
    </row>
    <row r="28" spans="1:10">
      <c r="A28" s="143" t="s">
        <v>46</v>
      </c>
      <c r="C28" s="403">
        <v>2.8927999999999998</v>
      </c>
      <c r="D28" s="404">
        <v>2804.3</v>
      </c>
      <c r="G28" s="405"/>
      <c r="H28" s="402"/>
      <c r="I28" s="403"/>
      <c r="J28" s="404"/>
    </row>
    <row r="29" spans="1:10">
      <c r="A29" s="143" t="s">
        <v>55</v>
      </c>
      <c r="C29" s="403">
        <v>2.8927999999999998</v>
      </c>
      <c r="D29" s="404">
        <v>2804.3</v>
      </c>
      <c r="G29" s="405"/>
      <c r="H29" s="402"/>
      <c r="I29" s="403"/>
      <c r="J29" s="404"/>
    </row>
    <row r="30" spans="1:10">
      <c r="A30" s="143" t="s">
        <v>150</v>
      </c>
      <c r="C30" s="403">
        <v>2.8927999999999998</v>
      </c>
      <c r="D30" s="404">
        <v>2804.3</v>
      </c>
      <c r="G30" s="405"/>
      <c r="H30" s="402"/>
      <c r="I30" s="403"/>
      <c r="J30" s="404"/>
    </row>
    <row r="31" spans="1:10">
      <c r="A31" s="143" t="s">
        <v>52</v>
      </c>
      <c r="C31" s="403">
        <v>2.7606999999999999</v>
      </c>
      <c r="D31" s="404">
        <v>3003.26</v>
      </c>
      <c r="G31" s="405"/>
      <c r="H31" s="402"/>
      <c r="I31" s="403"/>
      <c r="J31" s="404"/>
    </row>
    <row r="32" spans="1:10">
      <c r="A32" s="143"/>
      <c r="C32" s="403"/>
      <c r="D32" s="402"/>
      <c r="G32" s="405"/>
      <c r="H32" s="402"/>
      <c r="I32" s="403"/>
      <c r="J32" s="402"/>
    </row>
    <row r="33" spans="1:10">
      <c r="A33" s="142" t="s">
        <v>105</v>
      </c>
      <c r="C33" s="403">
        <v>2.7538999999999998</v>
      </c>
      <c r="D33" s="404">
        <v>1838.73</v>
      </c>
      <c r="G33" s="406"/>
      <c r="H33" s="402"/>
      <c r="I33" s="403"/>
      <c r="J33" s="404"/>
    </row>
    <row r="34" spans="1:10">
      <c r="A34" s="142" t="s">
        <v>104</v>
      </c>
      <c r="C34" s="403">
        <v>2.0266000000000002</v>
      </c>
      <c r="D34" s="404">
        <v>1838.73</v>
      </c>
      <c r="G34" s="406"/>
      <c r="H34" s="402"/>
      <c r="I34" s="403"/>
      <c r="J34" s="404"/>
    </row>
    <row r="35" spans="1:10">
      <c r="G35" s="406"/>
      <c r="H35" s="402"/>
      <c r="I35" s="403"/>
      <c r="J35" s="402"/>
    </row>
    <row r="36" spans="1:10">
      <c r="G36" s="406"/>
      <c r="H36" s="402"/>
      <c r="I36" s="403"/>
      <c r="J36" s="404"/>
    </row>
    <row r="37" spans="1:10">
      <c r="G37" s="406"/>
      <c r="H37" s="402"/>
      <c r="I37" s="403"/>
      <c r="J37" s="404"/>
    </row>
  </sheetData>
  <sheetProtection password="F4F5" sheet="1" objects="1" scenarios="1" selectLockedCells="1" selectUnlockedCells="1"/>
  <mergeCells count="1">
    <mergeCell ref="C4:D4"/>
  </mergeCells>
  <printOptions horizontalCentered="1" verticalCentered="1"/>
  <pageMargins left="0.75" right="0.75" top="1" bottom="1" header="0" footer="0"/>
  <pageSetup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Hoja2" enableFormatConditionsCalculation="0">
    <tabColor indexed="10"/>
    <pageSetUpPr fitToPage="1"/>
  </sheetPr>
  <dimension ref="A2:AI66"/>
  <sheetViews>
    <sheetView topLeftCell="AJ7" workbookViewId="0">
      <selection activeCell="AI7" sqref="A1:AI65536"/>
    </sheetView>
  </sheetViews>
  <sheetFormatPr baseColWidth="10" defaultColWidth="9.33203125" defaultRowHeight="12.75"/>
  <cols>
    <col min="1" max="1" width="12" style="28" hidden="1" customWidth="1"/>
    <col min="2" max="2" width="26.6640625" style="28" hidden="1" customWidth="1"/>
    <col min="3" max="3" width="15.5" style="28" hidden="1" customWidth="1"/>
    <col min="4" max="4" width="15.1640625" style="28" hidden="1" customWidth="1"/>
    <col min="5" max="5" width="17.33203125" style="28" hidden="1" customWidth="1"/>
    <col min="6" max="6" width="17.83203125" style="28" hidden="1" customWidth="1"/>
    <col min="7" max="7" width="16.1640625" style="28" hidden="1" customWidth="1"/>
    <col min="8" max="8" width="14" style="28" hidden="1" customWidth="1"/>
    <col min="9" max="10" width="10.5" style="28" hidden="1" customWidth="1"/>
    <col min="11" max="11" width="16.83203125" style="28" hidden="1" customWidth="1"/>
    <col min="12" max="12" width="18.5" style="28" hidden="1" customWidth="1"/>
    <col min="13" max="13" width="15.1640625" style="28" hidden="1" customWidth="1"/>
    <col min="14" max="14" width="16.33203125" style="28" hidden="1" customWidth="1"/>
    <col min="15" max="15" width="16.83203125" style="28" hidden="1" customWidth="1"/>
    <col min="16" max="16" width="15.6640625" style="28" hidden="1" customWidth="1"/>
    <col min="17" max="17" width="14.83203125" style="28" hidden="1" customWidth="1"/>
    <col min="18" max="18" width="17.6640625" style="28" hidden="1" customWidth="1"/>
    <col min="19" max="19" width="12" style="28" hidden="1" customWidth="1"/>
    <col min="20" max="23" width="14.33203125" style="28" hidden="1" customWidth="1"/>
    <col min="24" max="24" width="14.6640625" style="28" hidden="1" customWidth="1"/>
    <col min="25" max="35" width="9.33203125" style="28" hidden="1" customWidth="1"/>
    <col min="36" max="16384" width="9.33203125" style="28"/>
  </cols>
  <sheetData>
    <row r="2" spans="1:30" ht="25.5">
      <c r="A2" s="978" t="s">
        <v>115</v>
      </c>
      <c r="B2" s="978"/>
      <c r="C2" s="978"/>
      <c r="D2" s="978"/>
      <c r="E2" s="978"/>
      <c r="F2" s="978"/>
      <c r="G2" s="978"/>
      <c r="H2" s="978"/>
    </row>
    <row r="3" spans="1:30">
      <c r="B3" s="24"/>
    </row>
    <row r="4" spans="1:30">
      <c r="B4" s="24"/>
      <c r="X4" s="37">
        <v>38875</v>
      </c>
    </row>
    <row r="5" spans="1:30" ht="13.5" thickBot="1"/>
    <row r="6" spans="1:30" ht="13.5" thickBot="1">
      <c r="B6" s="976" t="s">
        <v>110</v>
      </c>
      <c r="C6" s="977"/>
      <c r="E6" s="44"/>
      <c r="F6" s="44"/>
      <c r="G6" s="44"/>
      <c r="H6" s="44"/>
      <c r="I6" s="44"/>
      <c r="J6" s="44"/>
      <c r="K6" s="44"/>
    </row>
    <row r="7" spans="1:30" ht="13.5" thickBot="1">
      <c r="B7" s="32" t="s">
        <v>29</v>
      </c>
      <c r="C7" s="33">
        <f>Cotizador!AA8</f>
        <v>48</v>
      </c>
      <c r="E7" s="49"/>
      <c r="F7" s="49"/>
      <c r="G7" s="50"/>
      <c r="H7" s="45"/>
      <c r="I7" s="45"/>
      <c r="J7" s="45"/>
      <c r="K7" s="45"/>
      <c r="AA7" s="28" t="s">
        <v>68</v>
      </c>
      <c r="AB7" s="28" t="s">
        <v>65</v>
      </c>
      <c r="AC7" s="28" t="s">
        <v>66</v>
      </c>
    </row>
    <row r="8" spans="1:30" ht="13.5" thickBot="1">
      <c r="B8" s="30" t="s">
        <v>68</v>
      </c>
      <c r="C8" s="34" t="s">
        <v>113</v>
      </c>
      <c r="E8" s="53" t="s">
        <v>97</v>
      </c>
      <c r="F8" s="54"/>
      <c r="G8" s="52">
        <v>420</v>
      </c>
      <c r="H8" s="39"/>
      <c r="I8" s="39"/>
      <c r="J8" s="39"/>
      <c r="K8" s="46"/>
      <c r="AA8" s="28" t="s">
        <v>65</v>
      </c>
      <c r="AB8" s="71" t="s">
        <v>9</v>
      </c>
      <c r="AC8" s="71" t="s">
        <v>50</v>
      </c>
      <c r="AD8" s="71" t="s">
        <v>65</v>
      </c>
    </row>
    <row r="9" spans="1:30">
      <c r="B9" s="30" t="s">
        <v>67</v>
      </c>
      <c r="C9" s="34" t="str">
        <f>Cotizador!D9</f>
        <v>F-250</v>
      </c>
      <c r="E9" s="49"/>
      <c r="F9" s="49"/>
      <c r="G9" s="51"/>
      <c r="H9" s="39"/>
      <c r="I9" s="39"/>
      <c r="J9" s="39"/>
      <c r="K9" s="47"/>
      <c r="AA9" s="28" t="s">
        <v>66</v>
      </c>
      <c r="AB9" s="71" t="s">
        <v>114</v>
      </c>
      <c r="AC9" s="71"/>
      <c r="AD9" s="71" t="s">
        <v>66</v>
      </c>
    </row>
    <row r="10" spans="1:30" ht="13.5" thickBot="1">
      <c r="B10" s="31" t="s">
        <v>72</v>
      </c>
      <c r="C10" s="70">
        <f>Cotizador!D17</f>
        <v>184100</v>
      </c>
      <c r="E10" s="39"/>
      <c r="F10" s="39"/>
      <c r="G10" s="47"/>
      <c r="H10" s="39"/>
      <c r="I10" s="39"/>
      <c r="J10" s="39"/>
      <c r="K10" s="47"/>
      <c r="AB10" s="71" t="s">
        <v>129</v>
      </c>
      <c r="AC10" s="71" t="s">
        <v>42</v>
      </c>
      <c r="AD10" s="71" t="s">
        <v>65</v>
      </c>
    </row>
    <row r="11" spans="1:30">
      <c r="E11" s="39"/>
      <c r="F11" s="39"/>
      <c r="G11" s="47"/>
      <c r="H11" s="39"/>
      <c r="I11" s="39"/>
      <c r="J11" s="39"/>
      <c r="K11" s="47"/>
      <c r="AB11" s="28" t="s">
        <v>105</v>
      </c>
      <c r="AD11" s="28" t="s">
        <v>65</v>
      </c>
    </row>
    <row r="12" spans="1:30">
      <c r="C12" s="57"/>
      <c r="E12" s="39"/>
      <c r="F12" s="39"/>
      <c r="G12" s="47"/>
      <c r="H12" s="39"/>
      <c r="I12" s="39"/>
      <c r="J12" s="39"/>
      <c r="K12" s="47"/>
      <c r="AB12" s="71" t="s">
        <v>17</v>
      </c>
      <c r="AC12" s="71" t="s">
        <v>44</v>
      </c>
      <c r="AD12" s="71" t="s">
        <v>65</v>
      </c>
    </row>
    <row r="13" spans="1:30" ht="13.5" thickBot="1">
      <c r="C13" s="58"/>
      <c r="D13" s="58"/>
      <c r="E13" s="58"/>
      <c r="F13" s="58"/>
      <c r="G13" s="58"/>
      <c r="AB13" s="71" t="s">
        <v>2</v>
      </c>
      <c r="AC13" s="71" t="s">
        <v>46</v>
      </c>
      <c r="AD13" s="71" t="s">
        <v>65</v>
      </c>
    </row>
    <row r="14" spans="1:30" ht="13.5" thickBot="1">
      <c r="B14" s="48" t="s">
        <v>108</v>
      </c>
      <c r="C14" s="58"/>
      <c r="D14" s="58"/>
      <c r="E14" s="58"/>
      <c r="F14" s="58"/>
      <c r="G14" s="58"/>
      <c r="AB14" s="71" t="s">
        <v>18</v>
      </c>
      <c r="AC14" s="71" t="s">
        <v>55</v>
      </c>
      <c r="AD14" s="71" t="s">
        <v>65</v>
      </c>
    </row>
    <row r="15" spans="1:30">
      <c r="AB15" s="71" t="s">
        <v>11</v>
      </c>
      <c r="AC15" s="71" t="s">
        <v>48</v>
      </c>
      <c r="AD15" s="71" t="s">
        <v>65</v>
      </c>
    </row>
    <row r="16" spans="1:30">
      <c r="B16" s="24"/>
      <c r="C16" s="36" t="s">
        <v>57</v>
      </c>
      <c r="D16" s="36" t="s">
        <v>58</v>
      </c>
      <c r="E16" s="36" t="s">
        <v>59</v>
      </c>
      <c r="F16" s="36" t="s">
        <v>60</v>
      </c>
      <c r="G16" s="36" t="s">
        <v>61</v>
      </c>
      <c r="AB16" s="71" t="s">
        <v>1</v>
      </c>
      <c r="AC16" s="71" t="s">
        <v>52</v>
      </c>
      <c r="AD16" s="71" t="s">
        <v>65</v>
      </c>
    </row>
    <row r="17" spans="2:32">
      <c r="B17" s="26" t="s">
        <v>73</v>
      </c>
      <c r="C17" s="35">
        <f>J25</f>
        <v>48</v>
      </c>
      <c r="D17" s="35">
        <f>J26</f>
        <v>48</v>
      </c>
      <c r="E17" s="35">
        <f>J27</f>
        <v>48</v>
      </c>
      <c r="F17" s="35">
        <f>J28</f>
        <v>48</v>
      </c>
      <c r="G17" s="35">
        <f>J29</f>
        <v>48</v>
      </c>
      <c r="AB17" s="28" t="s">
        <v>106</v>
      </c>
      <c r="AD17" s="71" t="s">
        <v>66</v>
      </c>
    </row>
    <row r="18" spans="2:32">
      <c r="B18" s="26" t="s">
        <v>69</v>
      </c>
      <c r="C18" s="26">
        <f>K25</f>
        <v>1</v>
      </c>
      <c r="D18" s="26">
        <f>K26</f>
        <v>4</v>
      </c>
      <c r="E18" s="26">
        <f>K27</f>
        <v>8</v>
      </c>
      <c r="F18" s="26">
        <f>K28</f>
        <v>16</v>
      </c>
      <c r="G18" s="26">
        <f>K29</f>
        <v>48</v>
      </c>
      <c r="AB18" s="28" t="s">
        <v>109</v>
      </c>
      <c r="AD18" s="71" t="s">
        <v>66</v>
      </c>
    </row>
    <row r="19" spans="2:32">
      <c r="B19" s="26" t="s">
        <v>70</v>
      </c>
      <c r="C19" s="27">
        <f>X25</f>
        <v>34709.404000000002</v>
      </c>
      <c r="D19" s="56">
        <f>X26/K26</f>
        <v>10462.8944937</v>
      </c>
      <c r="E19" s="27">
        <f>X27/K27</f>
        <v>5404.26937705</v>
      </c>
      <c r="F19" s="27">
        <f>X28/K28</f>
        <v>2746.8374425000002</v>
      </c>
      <c r="G19" s="27">
        <f>X29/K29</f>
        <v>925.73654951666686</v>
      </c>
      <c r="AB19" s="71" t="s">
        <v>44</v>
      </c>
      <c r="AC19" s="71"/>
      <c r="AD19" s="71" t="s">
        <v>66</v>
      </c>
    </row>
    <row r="20" spans="2:32">
      <c r="B20" s="26" t="s">
        <v>71</v>
      </c>
      <c r="C20" s="27">
        <f>C19/K25</f>
        <v>34709.404000000002</v>
      </c>
      <c r="D20" s="56">
        <f>X26</f>
        <v>41851.577974799999</v>
      </c>
      <c r="E20" s="27">
        <f>X27</f>
        <v>43234.1550164</v>
      </c>
      <c r="F20" s="27">
        <f>X28</f>
        <v>43949.399080000003</v>
      </c>
      <c r="G20" s="27">
        <f>X29</f>
        <v>44435.354376800009</v>
      </c>
      <c r="H20" s="29"/>
      <c r="AB20" s="71" t="s">
        <v>46</v>
      </c>
      <c r="AC20" s="71"/>
      <c r="AD20" s="71" t="s">
        <v>66</v>
      </c>
    </row>
    <row r="21" spans="2:32">
      <c r="E21" s="39"/>
      <c r="F21" s="39"/>
      <c r="G21" s="47"/>
      <c r="H21" s="39"/>
      <c r="I21" s="39"/>
      <c r="J21" s="39"/>
      <c r="K21" s="47"/>
      <c r="AB21" s="71" t="s">
        <v>52</v>
      </c>
      <c r="AC21" s="71"/>
      <c r="AD21" s="71" t="s">
        <v>66</v>
      </c>
    </row>
    <row r="22" spans="2:32" s="55" customFormat="1" ht="13.5">
      <c r="B22" s="55" t="s">
        <v>64</v>
      </c>
      <c r="C22" s="55">
        <v>11214.659599999999</v>
      </c>
      <c r="E22" s="49"/>
      <c r="F22" s="49"/>
      <c r="G22" s="51"/>
      <c r="H22" s="49"/>
      <c r="I22" s="49"/>
      <c r="J22" s="49"/>
      <c r="K22" s="51"/>
      <c r="V22" s="28"/>
      <c r="W22" s="28"/>
      <c r="X22" s="28"/>
      <c r="Y22" s="28"/>
      <c r="Z22" s="28"/>
      <c r="AA22" s="28"/>
      <c r="AB22" s="59" t="s">
        <v>111</v>
      </c>
      <c r="AC22" s="71"/>
      <c r="AD22" s="71" t="s">
        <v>66</v>
      </c>
      <c r="AE22" s="28"/>
      <c r="AF22" s="28"/>
    </row>
    <row r="23" spans="2:32" ht="13.5">
      <c r="E23" s="39"/>
      <c r="F23" s="39"/>
      <c r="G23" s="47"/>
      <c r="H23" s="39"/>
      <c r="I23" s="39"/>
      <c r="J23" s="39"/>
      <c r="K23" s="47"/>
      <c r="AB23" s="59" t="s">
        <v>112</v>
      </c>
      <c r="AC23" s="71"/>
      <c r="AD23" s="71" t="s">
        <v>66</v>
      </c>
    </row>
    <row r="24" spans="2:32">
      <c r="B24" s="28" t="s">
        <v>72</v>
      </c>
      <c r="C24" s="28" t="s">
        <v>91</v>
      </c>
      <c r="D24" s="28" t="s">
        <v>92</v>
      </c>
      <c r="E24" s="39" t="s">
        <v>93</v>
      </c>
      <c r="F24" s="39" t="s">
        <v>76</v>
      </c>
      <c r="G24" s="47" t="s">
        <v>94</v>
      </c>
      <c r="H24" s="39" t="s">
        <v>77</v>
      </c>
      <c r="I24" s="39"/>
      <c r="J24" s="39" t="s">
        <v>62</v>
      </c>
      <c r="K24" s="47" t="s">
        <v>63</v>
      </c>
      <c r="L24" s="28" t="s">
        <v>95</v>
      </c>
      <c r="M24" s="28" t="s">
        <v>76</v>
      </c>
      <c r="N24" s="28" t="s">
        <v>86</v>
      </c>
      <c r="O24" s="28" t="s">
        <v>96</v>
      </c>
      <c r="P24" s="28" t="s">
        <v>74</v>
      </c>
      <c r="Q24" s="28" t="s">
        <v>75</v>
      </c>
      <c r="R24" s="28" t="s">
        <v>87</v>
      </c>
      <c r="S24" s="28" t="s">
        <v>88</v>
      </c>
      <c r="T24" s="28" t="s">
        <v>89</v>
      </c>
      <c r="U24" s="28" t="s">
        <v>101</v>
      </c>
      <c r="V24" s="28" t="s">
        <v>102</v>
      </c>
      <c r="W24" s="28" t="s">
        <v>99</v>
      </c>
      <c r="X24" s="28" t="s">
        <v>100</v>
      </c>
      <c r="AB24" s="71" t="s">
        <v>54</v>
      </c>
      <c r="AC24" s="71"/>
      <c r="AD24" s="71" t="s">
        <v>66</v>
      </c>
    </row>
    <row r="25" spans="2:32">
      <c r="B25" s="28">
        <f>$C$10</f>
        <v>184100</v>
      </c>
      <c r="C25" s="28">
        <f>VLOOKUP($C$9,'Cuotas QT'!$C$7:$F$40,3,FALSE)</f>
        <v>3.0188000000000001</v>
      </c>
      <c r="D25" s="28">
        <f>ROUND(B25*C25/100,2)</f>
        <v>5557.61</v>
      </c>
      <c r="E25" s="39">
        <f>VLOOKUP($C$9,'Cuotas QT'!$C$7:$F$40,4,FALSE)</f>
        <v>3079.03</v>
      </c>
      <c r="F25" s="39">
        <f>D25+E25</f>
        <v>8636.64</v>
      </c>
      <c r="G25" s="47" t="s">
        <v>57</v>
      </c>
      <c r="H25" s="39">
        <f>$C$7/$C$7</f>
        <v>1</v>
      </c>
      <c r="I25" s="39">
        <f>INT(H25)</f>
        <v>1</v>
      </c>
      <c r="J25" s="39">
        <f>$C$7*I25</f>
        <v>48</v>
      </c>
      <c r="K25" s="47">
        <v>1</v>
      </c>
      <c r="L25" s="28">
        <f>VLOOKUP(J25,'TABLA FACTOR A LARGO PLAZO QT'!$A$11:$B$70,2,FALSE)</f>
        <v>3.4159000000000002</v>
      </c>
      <c r="M25" s="28">
        <f>ROUND(F25*L25,2)</f>
        <v>29501.9</v>
      </c>
      <c r="N25" s="28">
        <f>M25*$G$9</f>
        <v>0</v>
      </c>
      <c r="P25" s="72">
        <f>M25+O25</f>
        <v>29501.9</v>
      </c>
      <c r="Q25" s="72">
        <f>VLOOKUP(K25,'TABLA RECARGO POR PAGO FRACC QT'!$B$15:$F$74,2,FALSE)</f>
        <v>0</v>
      </c>
      <c r="R25" s="72">
        <f>P25*Q25</f>
        <v>0</v>
      </c>
      <c r="S25" s="72">
        <f>R25*$G$10</f>
        <v>0</v>
      </c>
      <c r="T25" s="72">
        <f>P25+R25</f>
        <v>29501.9</v>
      </c>
      <c r="U25" s="72">
        <f>$G$8</f>
        <v>420</v>
      </c>
      <c r="V25" s="72">
        <f>T25+U25</f>
        <v>29921.9</v>
      </c>
      <c r="W25" s="72">
        <f>V25*0.16</f>
        <v>4787.5039999999999</v>
      </c>
      <c r="X25" s="72">
        <f>V25+W25</f>
        <v>34709.404000000002</v>
      </c>
      <c r="AB25" s="71" t="s">
        <v>13</v>
      </c>
      <c r="AC25" s="71" t="s">
        <v>53</v>
      </c>
      <c r="AD25" s="71" t="s">
        <v>65</v>
      </c>
    </row>
    <row r="26" spans="2:32">
      <c r="B26" s="28">
        <f>$C$10</f>
        <v>184100</v>
      </c>
      <c r="C26" s="28">
        <f>VLOOKUP($C$9,'Cuotas QT'!$C$7:$F$40,3,FALSE)</f>
        <v>3.0188000000000001</v>
      </c>
      <c r="D26" s="28">
        <f>ROUND(B26*C26/100,2)</f>
        <v>5557.61</v>
      </c>
      <c r="E26" s="39">
        <f>VLOOKUP($C$9,'Cuotas QT'!$C$7:$F$40,4,FALSE)</f>
        <v>3079.03</v>
      </c>
      <c r="F26" s="39">
        <f>D26+E26</f>
        <v>8636.64</v>
      </c>
      <c r="G26" s="47" t="s">
        <v>58</v>
      </c>
      <c r="H26" s="39">
        <f>$C$7/12</f>
        <v>4</v>
      </c>
      <c r="I26" s="39">
        <f>INT(H26)</f>
        <v>4</v>
      </c>
      <c r="J26" s="39">
        <f>IF(I26-H26=0,I26*12,(I26+1)*12)</f>
        <v>48</v>
      </c>
      <c r="K26" s="47">
        <f>J26/12</f>
        <v>4</v>
      </c>
      <c r="L26" s="28">
        <f>VLOOKUP(J26,'TABLA FACTOR A LARGO PLAZO QT'!$A$11:$B$70,2,FALSE)</f>
        <v>3.4159000000000002</v>
      </c>
      <c r="M26" s="28">
        <f>ROUND(F26*L26,2)</f>
        <v>29501.9</v>
      </c>
      <c r="N26" s="28">
        <f>M26*$G$9</f>
        <v>0</v>
      </c>
      <c r="P26" s="72">
        <f>M26+O26</f>
        <v>29501.9</v>
      </c>
      <c r="Q26" s="72">
        <f>VLOOKUP(K26,'TABLA RECARGO POR PAGO FRACC QT'!$B$15:$F$74,2,FALSE)</f>
        <v>0.2087</v>
      </c>
      <c r="R26" s="72">
        <f>P26*Q26</f>
        <v>6157.0465300000005</v>
      </c>
      <c r="S26" s="72">
        <f>R26*$G$10</f>
        <v>0</v>
      </c>
      <c r="T26" s="72">
        <f>P26+R26</f>
        <v>35658.946530000001</v>
      </c>
      <c r="U26" s="72">
        <f>$G$8</f>
        <v>420</v>
      </c>
      <c r="V26" s="72">
        <f>T26+U26</f>
        <v>36078.946530000001</v>
      </c>
      <c r="W26" s="72">
        <f>V26*0.16</f>
        <v>5772.6314448000003</v>
      </c>
      <c r="X26" s="72">
        <f>V26+W26</f>
        <v>41851.577974799999</v>
      </c>
      <c r="AB26" s="71" t="s">
        <v>40</v>
      </c>
      <c r="AC26" s="71" t="s">
        <v>56</v>
      </c>
      <c r="AD26" s="71" t="s">
        <v>65</v>
      </c>
    </row>
    <row r="27" spans="2:32">
      <c r="B27" s="28">
        <f>$C$10</f>
        <v>184100</v>
      </c>
      <c r="C27" s="28">
        <f>VLOOKUP($C$9,'Cuotas QT'!$C$7:$F$40,3,FALSE)</f>
        <v>3.0188000000000001</v>
      </c>
      <c r="D27" s="28">
        <f>ROUND(B27*C27/100,2)</f>
        <v>5557.61</v>
      </c>
      <c r="E27" s="39">
        <f>VLOOKUP($C$9,'Cuotas QT'!$C$7:$F$40,4,FALSE)</f>
        <v>3079.03</v>
      </c>
      <c r="F27" s="39">
        <f>D27+E27</f>
        <v>8636.64</v>
      </c>
      <c r="G27" s="47" t="s">
        <v>59</v>
      </c>
      <c r="H27" s="39">
        <f>IF($C$7/6&lt;=1,"",$C$7/6)</f>
        <v>8</v>
      </c>
      <c r="I27" s="39">
        <f>INT(H27)</f>
        <v>8</v>
      </c>
      <c r="J27" s="39">
        <f>IF(I27-H27=0,I27*6,(I27+1)*6)</f>
        <v>48</v>
      </c>
      <c r="K27" s="47">
        <f>J27/6</f>
        <v>8</v>
      </c>
      <c r="L27" s="28">
        <f>VLOOKUP(J27,'TABLA FACTOR A LARGO PLAZO QT'!$A$11:$B$70,2,FALSE)</f>
        <v>3.4159000000000002</v>
      </c>
      <c r="M27" s="28">
        <f>ROUND(F27*L27,2)</f>
        <v>29501.9</v>
      </c>
      <c r="N27" s="28">
        <f>M27*$G$9</f>
        <v>0</v>
      </c>
      <c r="P27" s="72">
        <f>M27+O27</f>
        <v>29501.9</v>
      </c>
      <c r="Q27" s="72">
        <f>VLOOKUP(K27,'TABLA RECARGO POR PAGO FRACC QT'!$B$15:$F$74,3,FALSE)</f>
        <v>0.24909999999999999</v>
      </c>
      <c r="R27" s="72">
        <f>P27*Q27</f>
        <v>7348.9232899999997</v>
      </c>
      <c r="S27" s="72">
        <f>R27*$G$10</f>
        <v>0</v>
      </c>
      <c r="T27" s="72">
        <f>P27+R27</f>
        <v>36850.82329</v>
      </c>
      <c r="U27" s="72">
        <f>$G$8</f>
        <v>420</v>
      </c>
      <c r="V27" s="72">
        <f>T27+U27</f>
        <v>37270.82329</v>
      </c>
      <c r="W27" s="72">
        <f>V27*0.16</f>
        <v>5963.3317263999998</v>
      </c>
      <c r="X27" s="72">
        <f>V27+W27</f>
        <v>43234.1550164</v>
      </c>
      <c r="AB27" s="71" t="s">
        <v>15</v>
      </c>
      <c r="AC27" s="71" t="s">
        <v>54</v>
      </c>
      <c r="AD27" s="71" t="s">
        <v>65</v>
      </c>
    </row>
    <row r="28" spans="2:32">
      <c r="B28" s="28">
        <f>$C$10</f>
        <v>184100</v>
      </c>
      <c r="C28" s="28">
        <f>VLOOKUP($C$9,'Cuotas QT'!$C$7:$F$40,3,FALSE)</f>
        <v>3.0188000000000001</v>
      </c>
      <c r="D28" s="28">
        <f>ROUND(B28*C28/100,2)</f>
        <v>5557.61</v>
      </c>
      <c r="E28" s="39">
        <f>VLOOKUP($C$9,'Cuotas QT'!$C$7:$F$40,4,FALSE)</f>
        <v>3079.03</v>
      </c>
      <c r="F28" s="39">
        <f>D28+E28</f>
        <v>8636.64</v>
      </c>
      <c r="G28" s="47" t="s">
        <v>60</v>
      </c>
      <c r="H28" s="39">
        <f>IF($C$7/3&lt;=3,"",$C$7/3)</f>
        <v>16</v>
      </c>
      <c r="I28" s="39">
        <f>INT(H28)</f>
        <v>16</v>
      </c>
      <c r="J28" s="39">
        <f>IF(I28-H28=0,I28*3,(I28+1)*3)</f>
        <v>48</v>
      </c>
      <c r="K28" s="47">
        <f>J28/3</f>
        <v>16</v>
      </c>
      <c r="L28" s="28">
        <f>VLOOKUP(J28,'TABLA FACTOR A LARGO PLAZO QT'!$A$11:$B$70,2,FALSE)</f>
        <v>3.4159000000000002</v>
      </c>
      <c r="M28" s="28">
        <f>ROUND(F28*L28,2)</f>
        <v>29501.9</v>
      </c>
      <c r="N28" s="28">
        <f>M28*$G$9</f>
        <v>0</v>
      </c>
      <c r="P28" s="72">
        <f>M28+O28</f>
        <v>29501.9</v>
      </c>
      <c r="Q28" s="72">
        <f>VLOOKUP(K28,'TABLA RECARGO POR PAGO FRACC QT'!$B$15:$F$74,4,FALSE)</f>
        <v>0.27</v>
      </c>
      <c r="R28" s="72">
        <f>P28*Q28</f>
        <v>7965.5130000000008</v>
      </c>
      <c r="S28" s="72">
        <f>R28*$G$10</f>
        <v>0</v>
      </c>
      <c r="T28" s="72">
        <f>P28+R28</f>
        <v>37467.413</v>
      </c>
      <c r="U28" s="72">
        <f>$G$8</f>
        <v>420</v>
      </c>
      <c r="V28" s="72">
        <f>T28+U28</f>
        <v>37887.413</v>
      </c>
      <c r="W28" s="72">
        <f>V28*0.16</f>
        <v>6061.9860800000006</v>
      </c>
      <c r="X28" s="72">
        <f>V28+W28</f>
        <v>43949.399080000003</v>
      </c>
      <c r="AB28" s="71" t="s">
        <v>103</v>
      </c>
      <c r="AC28" s="71"/>
      <c r="AD28" s="71" t="s">
        <v>65</v>
      </c>
    </row>
    <row r="29" spans="2:32">
      <c r="B29" s="28">
        <f>$C$10</f>
        <v>184100</v>
      </c>
      <c r="C29" s="28">
        <f>VLOOKUP($C$9,'Cuotas QT'!$C$7:$F$40,3,FALSE)</f>
        <v>3.0188000000000001</v>
      </c>
      <c r="D29" s="28">
        <f>ROUND(B29*C29/100,2)</f>
        <v>5557.61</v>
      </c>
      <c r="E29" s="39">
        <f>VLOOKUP($C$9,'Cuotas QT'!$C$7:$F$40,4,FALSE)</f>
        <v>3079.03</v>
      </c>
      <c r="F29" s="39">
        <f>D29+E29</f>
        <v>8636.64</v>
      </c>
      <c r="G29" s="47" t="s">
        <v>61</v>
      </c>
      <c r="H29" s="39">
        <f>IF($C$7/3&lt;=3,"",$C$7/1)</f>
        <v>48</v>
      </c>
      <c r="I29" s="39">
        <f>INT(H29)</f>
        <v>48</v>
      </c>
      <c r="J29" s="39">
        <f>I29*1</f>
        <v>48</v>
      </c>
      <c r="K29" s="47">
        <f>J29/1</f>
        <v>48</v>
      </c>
      <c r="L29" s="28">
        <f>VLOOKUP(J29,'TABLA FACTOR A LARGO PLAZO QT'!$A$11:$B$70,2,FALSE)</f>
        <v>3.4159000000000002</v>
      </c>
      <c r="M29" s="28">
        <f>ROUND(F29*L29,2)</f>
        <v>29501.9</v>
      </c>
      <c r="N29" s="28">
        <f>M29*$G$9</f>
        <v>0</v>
      </c>
      <c r="P29" s="72">
        <f>M29+O29</f>
        <v>29501.9</v>
      </c>
      <c r="Q29" s="72">
        <f>VLOOKUP(K29,'TABLA RECARGO POR PAGO FRACC QT'!$B$15:$F$74,5,FALSE)</f>
        <v>0.28420000000000001</v>
      </c>
      <c r="R29" s="72">
        <f>P29*Q29</f>
        <v>8384.439980000001</v>
      </c>
      <c r="S29" s="72">
        <f>R29*$G$10</f>
        <v>0</v>
      </c>
      <c r="T29" s="72">
        <f>P29+R29</f>
        <v>37886.339980000004</v>
      </c>
      <c r="U29" s="72">
        <f>$G$8</f>
        <v>420</v>
      </c>
      <c r="V29" s="72">
        <f>T29+U29</f>
        <v>38306.339980000004</v>
      </c>
      <c r="W29" s="72">
        <f>V29*0.16</f>
        <v>6129.0143968000011</v>
      </c>
      <c r="X29" s="72">
        <f>V29+W29</f>
        <v>44435.354376800009</v>
      </c>
      <c r="AB29" s="71" t="s">
        <v>104</v>
      </c>
      <c r="AC29" s="71"/>
      <c r="AD29" s="71" t="s">
        <v>65</v>
      </c>
    </row>
    <row r="30" spans="2:32">
      <c r="E30" s="39"/>
      <c r="F30" s="39"/>
      <c r="G30" s="47"/>
      <c r="H30" s="39"/>
      <c r="I30" s="39"/>
      <c r="J30" s="39"/>
      <c r="K30" s="47"/>
      <c r="AB30" s="71" t="s">
        <v>3</v>
      </c>
      <c r="AC30" s="71"/>
      <c r="AD30" s="71" t="s">
        <v>65</v>
      </c>
    </row>
    <row r="31" spans="2:32">
      <c r="E31" s="39"/>
      <c r="F31" s="39"/>
      <c r="G31" s="47"/>
      <c r="H31" s="39"/>
      <c r="I31" s="39"/>
      <c r="J31" s="39"/>
      <c r="K31" s="47"/>
      <c r="AB31" s="71" t="s">
        <v>20</v>
      </c>
      <c r="AC31" s="71"/>
      <c r="AD31" s="71" t="s">
        <v>65</v>
      </c>
    </row>
    <row r="32" spans="2:32">
      <c r="B32" s="28" t="s">
        <v>72</v>
      </c>
      <c r="C32" s="28" t="s">
        <v>91</v>
      </c>
      <c r="D32" s="28" t="s">
        <v>92</v>
      </c>
      <c r="E32" s="39" t="s">
        <v>93</v>
      </c>
      <c r="F32" s="39" t="s">
        <v>76</v>
      </c>
      <c r="G32" s="47" t="s">
        <v>94</v>
      </c>
      <c r="H32" s="39" t="s">
        <v>77</v>
      </c>
      <c r="I32" s="39"/>
      <c r="J32" s="39" t="s">
        <v>62</v>
      </c>
      <c r="K32" s="47" t="s">
        <v>63</v>
      </c>
      <c r="L32" s="28" t="s">
        <v>95</v>
      </c>
      <c r="M32" s="28" t="s">
        <v>76</v>
      </c>
      <c r="N32" s="28" t="s">
        <v>86</v>
      </c>
      <c r="O32" s="28" t="s">
        <v>96</v>
      </c>
      <c r="P32" s="28" t="s">
        <v>74</v>
      </c>
      <c r="Q32" s="28" t="s">
        <v>75</v>
      </c>
      <c r="R32" s="28" t="s">
        <v>87</v>
      </c>
      <c r="S32" s="28" t="s">
        <v>88</v>
      </c>
      <c r="T32" s="28" t="s">
        <v>89</v>
      </c>
      <c r="U32" s="28" t="s">
        <v>101</v>
      </c>
      <c r="V32" s="28" t="s">
        <v>102</v>
      </c>
      <c r="W32" s="28" t="s">
        <v>99</v>
      </c>
      <c r="X32" s="29" t="s">
        <v>100</v>
      </c>
      <c r="AB32" s="71" t="s">
        <v>22</v>
      </c>
      <c r="AC32" s="71"/>
      <c r="AD32" s="71" t="s">
        <v>65</v>
      </c>
    </row>
    <row r="33" spans="2:30">
      <c r="B33" s="416">
        <f>$C$10</f>
        <v>184100</v>
      </c>
      <c r="C33" s="416">
        <f>VLOOKUP($C$9,'Cuotas QT'!$C$7:$F$40,3,FALSE)</f>
        <v>3.0188000000000001</v>
      </c>
      <c r="D33" s="416">
        <f>ROUND(B33*C33/100,2)</f>
        <v>5557.61</v>
      </c>
      <c r="E33" s="417">
        <f>VLOOKUP($C$9,'Cuotas QT'!$C$7:$F$40,4,FALSE)</f>
        <v>3079.03</v>
      </c>
      <c r="F33" s="417">
        <f>D33+E33</f>
        <v>8636.64</v>
      </c>
      <c r="G33" s="418" t="s">
        <v>57</v>
      </c>
      <c r="H33" s="417">
        <f>$C$7/$C$7</f>
        <v>1</v>
      </c>
      <c r="I33" s="417">
        <f>INT(H33)</f>
        <v>1</v>
      </c>
      <c r="J33" s="417">
        <v>12</v>
      </c>
      <c r="K33" s="418">
        <v>1</v>
      </c>
      <c r="L33" s="416">
        <f>VLOOKUP(J33,'TABLA FACTOR A LARGO PLAZO QT'!$A$11:$B$70,2,FALSE)</f>
        <v>1</v>
      </c>
      <c r="M33" s="416">
        <f>ROUND(F33*L33,2)</f>
        <v>8636.64</v>
      </c>
      <c r="N33" s="416">
        <f>M33*$G$9</f>
        <v>0</v>
      </c>
      <c r="O33" s="416"/>
      <c r="P33" s="415">
        <f>M33+O33</f>
        <v>8636.64</v>
      </c>
      <c r="Q33" s="415">
        <f>VLOOKUP(K33,'TABLA RECARGO POR PAGO FRACC QT'!$B$15:$F$74,2,FALSE)</f>
        <v>0</v>
      </c>
      <c r="R33" s="415">
        <f>P33*Q33</f>
        <v>0</v>
      </c>
      <c r="S33" s="415">
        <f>R33*$G$10</f>
        <v>0</v>
      </c>
      <c r="T33" s="415">
        <f>P33+R33</f>
        <v>8636.64</v>
      </c>
      <c r="U33" s="415">
        <f>$G$8</f>
        <v>420</v>
      </c>
      <c r="V33" s="415">
        <f>T33+U33</f>
        <v>9056.64</v>
      </c>
      <c r="W33" s="415">
        <f>V33*0.16</f>
        <v>1449.0624</v>
      </c>
      <c r="X33" s="415">
        <f>V33+W33</f>
        <v>10505.7024</v>
      </c>
      <c r="AB33" s="71" t="s">
        <v>4</v>
      </c>
      <c r="AC33" s="71"/>
      <c r="AD33" s="71" t="s">
        <v>65</v>
      </c>
    </row>
    <row r="34" spans="2:30">
      <c r="E34" s="39"/>
      <c r="F34" s="39"/>
      <c r="G34" s="47"/>
      <c r="H34" s="39"/>
      <c r="I34" s="39"/>
      <c r="J34" s="39"/>
      <c r="K34" s="47"/>
      <c r="AB34" s="71" t="s">
        <v>107</v>
      </c>
      <c r="AC34" s="71"/>
      <c r="AD34" s="71" t="s">
        <v>66</v>
      </c>
    </row>
    <row r="35" spans="2:30">
      <c r="B35" s="810" t="str">
        <f>'Cálculo Mens. y dif. seguro'!C42</f>
        <v>IKON</v>
      </c>
      <c r="E35" s="39"/>
      <c r="F35" s="39"/>
      <c r="G35" s="47"/>
      <c r="H35" s="39"/>
      <c r="I35" s="39"/>
      <c r="J35" s="39"/>
      <c r="K35" s="47"/>
      <c r="AB35" s="71"/>
      <c r="AC35" s="71"/>
      <c r="AD35" s="71"/>
    </row>
    <row r="36" spans="2:30">
      <c r="B36" s="811">
        <f>'Cálculo Mens. y dif. seguro'!C44</f>
        <v>134500</v>
      </c>
      <c r="E36" s="39"/>
      <c r="F36" s="39"/>
      <c r="G36" s="47"/>
      <c r="H36" s="39"/>
      <c r="I36" s="39"/>
      <c r="J36" s="39"/>
      <c r="K36" s="47"/>
      <c r="AB36" s="71" t="s">
        <v>55</v>
      </c>
      <c r="AC36" s="71"/>
      <c r="AD36" s="71" t="s">
        <v>66</v>
      </c>
    </row>
    <row r="37" spans="2:30">
      <c r="E37" s="39"/>
      <c r="F37" s="39"/>
      <c r="G37" s="47"/>
      <c r="H37" s="39"/>
      <c r="I37" s="39"/>
      <c r="J37" s="39"/>
      <c r="K37" s="47"/>
      <c r="AB37" s="71" t="s">
        <v>78</v>
      </c>
      <c r="AC37" s="71"/>
      <c r="AD37" s="71" t="s">
        <v>65</v>
      </c>
    </row>
    <row r="38" spans="2:30">
      <c r="B38" s="28" t="s">
        <v>72</v>
      </c>
      <c r="C38" s="28" t="s">
        <v>91</v>
      </c>
      <c r="D38" s="28" t="s">
        <v>92</v>
      </c>
      <c r="E38" s="39" t="s">
        <v>93</v>
      </c>
      <c r="F38" s="39" t="s">
        <v>76</v>
      </c>
      <c r="G38" s="47" t="s">
        <v>94</v>
      </c>
      <c r="H38" s="39" t="s">
        <v>77</v>
      </c>
      <c r="I38" s="39"/>
      <c r="J38" s="39" t="s">
        <v>62</v>
      </c>
      <c r="K38" s="47" t="s">
        <v>63</v>
      </c>
      <c r="L38" s="28" t="s">
        <v>95</v>
      </c>
      <c r="M38" s="28" t="s">
        <v>76</v>
      </c>
      <c r="N38" s="28" t="s">
        <v>86</v>
      </c>
      <c r="O38" s="28" t="s">
        <v>96</v>
      </c>
      <c r="P38" s="28" t="s">
        <v>74</v>
      </c>
      <c r="Q38" s="28" t="s">
        <v>75</v>
      </c>
      <c r="R38" s="28" t="s">
        <v>87</v>
      </c>
      <c r="S38" s="28" t="s">
        <v>88</v>
      </c>
      <c r="T38" s="28" t="s">
        <v>89</v>
      </c>
      <c r="U38" s="28" t="s">
        <v>101</v>
      </c>
      <c r="V38" s="28" t="s">
        <v>102</v>
      </c>
      <c r="W38" s="28" t="s">
        <v>99</v>
      </c>
      <c r="X38" s="29" t="s">
        <v>100</v>
      </c>
      <c r="AB38" s="71" t="s">
        <v>22</v>
      </c>
      <c r="AC38" s="71"/>
      <c r="AD38" s="71" t="s">
        <v>65</v>
      </c>
    </row>
    <row r="39" spans="2:30">
      <c r="B39" s="809">
        <f>B36</f>
        <v>134500</v>
      </c>
      <c r="C39" s="808">
        <f>VLOOKUP(B35,'Cuotas QT'!$C$7:$F$40,3,FALSE)</f>
        <v>3.4384999999999999</v>
      </c>
      <c r="D39" s="808">
        <f>ROUND(B39*C39/100,2)</f>
        <v>4624.78</v>
      </c>
      <c r="E39" s="812">
        <f>VLOOKUP($C$9,'Cuotas QT'!$C$7:$F$40,4,FALSE)</f>
        <v>3079.03</v>
      </c>
      <c r="F39" s="812">
        <f>D39+E39</f>
        <v>7703.8099999999995</v>
      </c>
      <c r="G39" s="813" t="s">
        <v>57</v>
      </c>
      <c r="H39" s="812">
        <f>$C$7/$C$7</f>
        <v>1</v>
      </c>
      <c r="I39" s="812">
        <f>INT(H39)</f>
        <v>1</v>
      </c>
      <c r="J39" s="812">
        <v>12</v>
      </c>
      <c r="K39" s="813">
        <v>1</v>
      </c>
      <c r="L39" s="808">
        <f>VLOOKUP(J39,'TABLA FACTOR A LARGO PLAZO QT'!$A$11:$B$70,2,FALSE)</f>
        <v>1</v>
      </c>
      <c r="M39" s="808">
        <f>ROUND(F39*L39,2)</f>
        <v>7703.81</v>
      </c>
      <c r="N39" s="808">
        <f>M39*$G$9</f>
        <v>0</v>
      </c>
      <c r="O39" s="808"/>
      <c r="P39" s="814">
        <f>M39+O39</f>
        <v>7703.81</v>
      </c>
      <c r="Q39" s="814">
        <f>VLOOKUP(K39,'TABLA RECARGO POR PAGO FRACC QT'!$B$15:$F$74,2,FALSE)</f>
        <v>0</v>
      </c>
      <c r="R39" s="814">
        <f>P39*Q39</f>
        <v>0</v>
      </c>
      <c r="S39" s="814">
        <f>R39*$G$10</f>
        <v>0</v>
      </c>
      <c r="T39" s="814">
        <f>P39+R39</f>
        <v>7703.81</v>
      </c>
      <c r="U39" s="814">
        <f>$G$8</f>
        <v>420</v>
      </c>
      <c r="V39" s="814">
        <f>T39+U39</f>
        <v>8123.81</v>
      </c>
      <c r="W39" s="814">
        <f>V39*0.16</f>
        <v>1299.8096</v>
      </c>
      <c r="X39" s="814">
        <f>V39+W39</f>
        <v>9423.6196</v>
      </c>
      <c r="AB39" s="71" t="s">
        <v>4</v>
      </c>
      <c r="AC39" s="71"/>
      <c r="AD39" s="71" t="s">
        <v>65</v>
      </c>
    </row>
    <row r="40" spans="2:30">
      <c r="E40" s="39"/>
      <c r="F40" s="39"/>
      <c r="G40" s="47"/>
      <c r="H40" s="39"/>
      <c r="I40" s="39"/>
      <c r="J40" s="39"/>
      <c r="K40" s="47"/>
      <c r="AB40" s="71" t="s">
        <v>7</v>
      </c>
      <c r="AC40" s="71"/>
      <c r="AD40" s="71" t="s">
        <v>65</v>
      </c>
    </row>
    <row r="41" spans="2:30">
      <c r="E41" s="39"/>
      <c r="F41" s="39"/>
      <c r="G41" s="47"/>
      <c r="H41" s="39"/>
      <c r="I41" s="39"/>
      <c r="J41" s="39"/>
      <c r="K41" s="47"/>
      <c r="AB41" s="71" t="s">
        <v>48</v>
      </c>
      <c r="AC41" s="71"/>
      <c r="AD41" s="71" t="s">
        <v>66</v>
      </c>
    </row>
    <row r="42" spans="2:30">
      <c r="E42" s="39"/>
      <c r="F42" s="39"/>
      <c r="G42" s="47"/>
      <c r="H42" s="39"/>
      <c r="I42" s="39"/>
      <c r="J42" s="39"/>
      <c r="K42" s="47"/>
      <c r="AB42" s="71" t="s">
        <v>23</v>
      </c>
      <c r="AC42" s="71"/>
      <c r="AD42" s="71" t="s">
        <v>65</v>
      </c>
    </row>
    <row r="43" spans="2:30">
      <c r="E43" s="39"/>
      <c r="F43" s="39"/>
      <c r="G43" s="47"/>
      <c r="H43" s="39"/>
      <c r="I43" s="39"/>
      <c r="J43" s="39"/>
      <c r="K43" s="47"/>
      <c r="R43" s="73"/>
      <c r="S43" s="73"/>
      <c r="T43" s="73"/>
      <c r="U43" s="73"/>
      <c r="V43" s="73"/>
      <c r="W43" s="73"/>
      <c r="X43" s="74"/>
      <c r="AB43" s="71" t="s">
        <v>111</v>
      </c>
      <c r="AC43" s="71"/>
      <c r="AD43" s="71" t="s">
        <v>66</v>
      </c>
    </row>
    <row r="44" spans="2:30">
      <c r="E44" s="39"/>
      <c r="F44" s="39"/>
      <c r="G44" s="47"/>
      <c r="H44" s="39"/>
      <c r="I44" s="39"/>
      <c r="J44" s="39"/>
      <c r="K44" s="47"/>
      <c r="R44" s="73"/>
      <c r="S44" s="73"/>
      <c r="T44" s="73"/>
      <c r="U44" s="73"/>
      <c r="V44" s="73"/>
      <c r="W44" s="73"/>
      <c r="X44" s="74"/>
      <c r="AB44" s="71" t="s">
        <v>112</v>
      </c>
      <c r="AC44" s="71"/>
      <c r="AD44" s="71" t="s">
        <v>65</v>
      </c>
    </row>
    <row r="45" spans="2:30">
      <c r="E45" s="39"/>
      <c r="F45" s="39"/>
      <c r="G45" s="47"/>
      <c r="H45" s="39"/>
      <c r="I45" s="39"/>
      <c r="J45" s="39"/>
      <c r="K45" s="47"/>
      <c r="R45" s="73"/>
      <c r="S45" s="73"/>
      <c r="T45" s="73"/>
      <c r="U45" s="73"/>
      <c r="V45" s="73"/>
      <c r="W45" s="73"/>
      <c r="X45" s="74"/>
      <c r="AB45" s="71"/>
      <c r="AC45" s="71"/>
      <c r="AD45" s="71"/>
    </row>
    <row r="46" spans="2:30">
      <c r="E46" s="39"/>
      <c r="F46" s="39"/>
      <c r="G46" s="47"/>
      <c r="H46" s="39"/>
      <c r="I46" s="39"/>
      <c r="J46" s="39"/>
      <c r="K46" s="47"/>
      <c r="R46" s="73"/>
      <c r="S46" s="73"/>
      <c r="T46" s="73"/>
      <c r="U46" s="73"/>
      <c r="V46" s="73"/>
      <c r="W46" s="73"/>
      <c r="X46" s="74"/>
      <c r="AB46" s="71"/>
      <c r="AC46" s="71"/>
      <c r="AD46" s="71"/>
    </row>
    <row r="47" spans="2:30">
      <c r="E47" s="39"/>
      <c r="F47" s="39"/>
      <c r="G47" s="47"/>
      <c r="H47" s="39"/>
      <c r="I47" s="39"/>
      <c r="J47" s="39"/>
      <c r="K47" s="47"/>
      <c r="R47" s="73"/>
      <c r="S47" s="73"/>
      <c r="T47" s="73"/>
      <c r="U47" s="73"/>
      <c r="V47" s="73"/>
      <c r="W47" s="73"/>
      <c r="X47" s="74"/>
      <c r="AB47" s="71"/>
      <c r="AC47" s="71"/>
      <c r="AD47" s="71"/>
    </row>
    <row r="48" spans="2:30">
      <c r="E48" s="39"/>
      <c r="F48" s="39"/>
      <c r="G48" s="47"/>
      <c r="H48" s="39"/>
      <c r="I48" s="39"/>
      <c r="J48" s="39"/>
      <c r="K48" s="47"/>
      <c r="X48" s="29"/>
      <c r="AB48" s="71"/>
      <c r="AC48" s="71"/>
      <c r="AD48" s="71"/>
    </row>
    <row r="49" spans="5:30">
      <c r="E49" s="39"/>
      <c r="F49" s="39"/>
      <c r="G49" s="47"/>
      <c r="H49" s="39"/>
      <c r="I49" s="39"/>
      <c r="J49" s="39"/>
      <c r="K49" s="47"/>
      <c r="X49" s="29"/>
      <c r="AB49" s="71"/>
      <c r="AC49" s="71"/>
      <c r="AD49" s="71"/>
    </row>
    <row r="50" spans="5:30">
      <c r="AB50" s="71"/>
      <c r="AC50" s="71"/>
      <c r="AD50" s="71"/>
    </row>
    <row r="51" spans="5:30">
      <c r="AB51" s="71"/>
      <c r="AC51" s="71"/>
      <c r="AD51" s="71"/>
    </row>
    <row r="52" spans="5:30">
      <c r="E52" s="39"/>
      <c r="F52" s="39"/>
      <c r="G52" s="47"/>
      <c r="H52" s="39"/>
      <c r="I52" s="39"/>
      <c r="J52" s="39"/>
      <c r="K52" s="47"/>
      <c r="R52" s="73"/>
      <c r="S52" s="73"/>
      <c r="T52" s="73"/>
      <c r="U52" s="73"/>
      <c r="V52" s="73"/>
      <c r="W52" s="73"/>
      <c r="X52" s="74"/>
      <c r="AB52" s="71"/>
      <c r="AC52" s="71"/>
      <c r="AD52" s="71"/>
    </row>
    <row r="53" spans="5:30">
      <c r="E53" s="39"/>
      <c r="F53" s="39"/>
      <c r="G53" s="47"/>
      <c r="H53" s="39"/>
      <c r="I53" s="39"/>
      <c r="J53" s="39"/>
      <c r="K53" s="47"/>
      <c r="R53" s="73"/>
      <c r="S53" s="73"/>
      <c r="T53" s="73"/>
      <c r="U53" s="73"/>
      <c r="V53" s="73"/>
      <c r="W53" s="73"/>
      <c r="X53" s="74"/>
      <c r="AB53" s="71"/>
      <c r="AC53" s="71"/>
      <c r="AD53" s="71"/>
    </row>
    <row r="54" spans="5:30">
      <c r="E54" s="39"/>
      <c r="F54" s="39"/>
      <c r="G54" s="47"/>
      <c r="H54" s="39"/>
      <c r="I54" s="39"/>
      <c r="J54" s="39"/>
      <c r="K54" s="47"/>
      <c r="R54" s="73"/>
      <c r="S54" s="73"/>
      <c r="T54" s="73"/>
      <c r="U54" s="73"/>
      <c r="V54" s="73"/>
      <c r="W54" s="73"/>
      <c r="X54" s="74"/>
      <c r="AB54" s="71"/>
      <c r="AC54" s="71"/>
      <c r="AD54" s="71"/>
    </row>
    <row r="55" spans="5:30">
      <c r="E55" s="39"/>
      <c r="F55" s="39"/>
      <c r="G55" s="47"/>
      <c r="H55" s="39"/>
      <c r="I55" s="39"/>
      <c r="J55" s="39"/>
      <c r="K55" s="47"/>
      <c r="R55" s="73"/>
      <c r="S55" s="73"/>
      <c r="T55" s="73"/>
      <c r="U55" s="73"/>
      <c r="V55" s="73"/>
      <c r="W55" s="73"/>
      <c r="X55" s="74"/>
      <c r="AB55" s="71"/>
      <c r="AC55" s="71"/>
      <c r="AD55" s="71"/>
    </row>
    <row r="56" spans="5:30">
      <c r="E56" s="39"/>
      <c r="F56" s="39"/>
      <c r="G56" s="47"/>
      <c r="H56" s="39"/>
      <c r="I56" s="39"/>
      <c r="J56" s="39"/>
      <c r="K56" s="47"/>
      <c r="R56" s="73"/>
      <c r="S56" s="73"/>
      <c r="T56" s="73"/>
      <c r="U56" s="73"/>
      <c r="V56" s="73"/>
      <c r="W56" s="73"/>
      <c r="X56" s="73"/>
      <c r="AB56" s="71"/>
      <c r="AC56" s="71"/>
      <c r="AD56" s="71"/>
    </row>
    <row r="57" spans="5:30">
      <c r="E57" s="39"/>
      <c r="F57" s="39"/>
      <c r="G57" s="47"/>
      <c r="H57" s="39"/>
      <c r="I57" s="39"/>
      <c r="J57" s="39"/>
      <c r="K57" s="47"/>
      <c r="AB57" s="71"/>
      <c r="AC57" s="71"/>
      <c r="AD57" s="71"/>
    </row>
    <row r="58" spans="5:30">
      <c r="E58" s="39"/>
      <c r="F58" s="39"/>
      <c r="G58" s="47"/>
      <c r="H58" s="39"/>
      <c r="I58" s="39"/>
      <c r="J58" s="39"/>
      <c r="K58" s="47"/>
      <c r="AB58" s="71"/>
      <c r="AC58" s="71"/>
      <c r="AD58" s="71"/>
    </row>
    <row r="59" spans="5:30">
      <c r="E59" s="39"/>
      <c r="F59" s="39"/>
      <c r="G59" s="47"/>
      <c r="H59" s="39"/>
      <c r="I59" s="39"/>
      <c r="J59" s="39"/>
      <c r="K59" s="47"/>
      <c r="AB59" s="71"/>
      <c r="AC59" s="71"/>
      <c r="AD59" s="71"/>
    </row>
    <row r="60" spans="5:30">
      <c r="E60" s="39"/>
      <c r="F60" s="39"/>
      <c r="G60" s="47"/>
      <c r="H60" s="39"/>
      <c r="I60" s="39"/>
      <c r="J60" s="39"/>
      <c r="K60" s="47"/>
      <c r="AB60" s="71"/>
      <c r="AC60" s="71"/>
      <c r="AD60" s="71"/>
    </row>
    <row r="61" spans="5:30">
      <c r="E61" s="39"/>
      <c r="F61" s="39"/>
      <c r="G61" s="47"/>
      <c r="H61" s="39"/>
      <c r="I61" s="39"/>
      <c r="J61" s="39"/>
      <c r="K61" s="47"/>
      <c r="AB61" s="71"/>
      <c r="AC61" s="71"/>
      <c r="AD61" s="71"/>
    </row>
    <row r="62" spans="5:30">
      <c r="E62" s="39"/>
      <c r="F62" s="39"/>
      <c r="G62" s="47"/>
      <c r="H62" s="39"/>
      <c r="I62" s="39"/>
      <c r="J62" s="39"/>
      <c r="K62" s="47"/>
      <c r="AB62" s="71"/>
      <c r="AC62" s="71"/>
      <c r="AD62" s="71"/>
    </row>
    <row r="63" spans="5:30">
      <c r="E63" s="39"/>
      <c r="F63" s="39"/>
      <c r="G63" s="47"/>
      <c r="H63" s="39"/>
      <c r="I63" s="39"/>
      <c r="J63" s="39"/>
      <c r="K63" s="47"/>
      <c r="AB63" s="71"/>
      <c r="AC63" s="71"/>
      <c r="AD63" s="71"/>
    </row>
    <row r="64" spans="5:30">
      <c r="E64" s="39"/>
      <c r="F64" s="39"/>
      <c r="G64" s="47"/>
      <c r="H64" s="39"/>
      <c r="I64" s="39"/>
      <c r="J64" s="39"/>
      <c r="K64" s="47"/>
      <c r="AB64" s="71"/>
      <c r="AC64" s="71"/>
      <c r="AD64" s="71"/>
    </row>
    <row r="65" spans="5:30">
      <c r="E65" s="39"/>
      <c r="F65" s="39"/>
      <c r="G65" s="47"/>
      <c r="H65" s="39"/>
      <c r="I65" s="39"/>
      <c r="J65" s="39"/>
      <c r="K65" s="47"/>
      <c r="AB65" s="71"/>
      <c r="AC65" s="71"/>
      <c r="AD65" s="71"/>
    </row>
    <row r="66" spans="5:30">
      <c r="E66" s="39"/>
      <c r="F66" s="39"/>
      <c r="G66" s="47"/>
      <c r="H66" s="39"/>
      <c r="I66" s="39"/>
      <c r="J66" s="39"/>
      <c r="K66" s="47"/>
      <c r="AB66" s="71"/>
      <c r="AC66" s="71"/>
      <c r="AD66" s="71"/>
    </row>
  </sheetData>
  <sheetProtection password="F4F5" sheet="1" objects="1" scenarios="1" selectLockedCells="1" selectUnlockedCells="1"/>
  <mergeCells count="2">
    <mergeCell ref="B6:C6"/>
    <mergeCell ref="A2:H2"/>
  </mergeCells>
  <phoneticPr fontId="0" type="noConversion"/>
  <dataValidations count="1">
    <dataValidation type="list" allowBlank="1" showInputMessage="1" showErrorMessage="1" sqref="C8">
      <formula1>$AA$8:$AA$9</formula1>
    </dataValidation>
  </dataValidations>
  <printOptions horizontalCentered="1"/>
  <pageMargins left="0.39370078740157483" right="0.39370078740157483" top="0.98425196850393704" bottom="0.98425196850393704" header="0" footer="0"/>
  <pageSetup orientation="portrait" r:id="rId1"/>
  <headerFooter alignWithMargins="0"/>
</worksheet>
</file>

<file path=xl/worksheets/sheet30.xml><?xml version="1.0" encoding="utf-8"?>
<worksheet xmlns="http://schemas.openxmlformats.org/spreadsheetml/2006/main" xmlns:r="http://schemas.openxmlformats.org/officeDocument/2006/relationships">
  <sheetPr codeName="Hoja29">
    <pageSetUpPr fitToPage="1"/>
  </sheetPr>
  <dimension ref="A2:L70"/>
  <sheetViews>
    <sheetView topLeftCell="M1" workbookViewId="0">
      <selection activeCell="L1" sqref="A1:L65536"/>
    </sheetView>
  </sheetViews>
  <sheetFormatPr baseColWidth="10" defaultColWidth="9.33203125" defaultRowHeight="12.75"/>
  <cols>
    <col min="1" max="2" width="12" style="77" hidden="1" customWidth="1"/>
    <col min="3" max="3" width="2.33203125" style="77" hidden="1" customWidth="1"/>
    <col min="4" max="12" width="9.33203125" style="77" hidden="1" customWidth="1"/>
    <col min="13" max="16384" width="9.33203125" style="77"/>
  </cols>
  <sheetData>
    <row r="2" spans="1:5" ht="18">
      <c r="A2" s="160" t="s">
        <v>25</v>
      </c>
      <c r="B2" s="159"/>
      <c r="D2" s="155"/>
    </row>
    <row r="3" spans="1:5" ht="18">
      <c r="A3" s="160" t="s">
        <v>26</v>
      </c>
      <c r="B3" s="159"/>
      <c r="D3" s="155"/>
    </row>
    <row r="4" spans="1:5" ht="13.5" thickBot="1">
      <c r="A4" s="158"/>
      <c r="B4" s="157"/>
      <c r="C4" s="156"/>
      <c r="D4" s="156"/>
    </row>
    <row r="5" spans="1:5" ht="13.5" thickTop="1">
      <c r="A5" s="155"/>
      <c r="B5" s="155"/>
      <c r="C5" s="155"/>
    </row>
    <row r="8" spans="1:5">
      <c r="A8" s="154" t="s">
        <v>27</v>
      </c>
      <c r="B8" s="154" t="s">
        <v>28</v>
      </c>
    </row>
    <row r="9" spans="1:5">
      <c r="A9" s="153" t="s">
        <v>29</v>
      </c>
      <c r="B9" s="153" t="s">
        <v>27</v>
      </c>
    </row>
    <row r="10" spans="1:5">
      <c r="A10" s="152"/>
      <c r="B10" s="152"/>
    </row>
    <row r="11" spans="1:5">
      <c r="A11" s="150">
        <v>1</v>
      </c>
      <c r="B11" s="148">
        <v>0.10829999999999999</v>
      </c>
      <c r="C11" s="151"/>
      <c r="E11" s="147"/>
    </row>
    <row r="12" spans="1:5">
      <c r="A12" s="150">
        <v>2</v>
      </c>
      <c r="B12" s="148">
        <v>0.2167</v>
      </c>
      <c r="C12" s="151"/>
      <c r="E12" s="147"/>
    </row>
    <row r="13" spans="1:5">
      <c r="A13" s="150">
        <v>3</v>
      </c>
      <c r="B13" s="148">
        <v>0.32500000000000001</v>
      </c>
      <c r="C13" s="151"/>
      <c r="E13" s="147"/>
    </row>
    <row r="14" spans="1:5">
      <c r="A14" s="150">
        <v>4</v>
      </c>
      <c r="B14" s="148">
        <v>0.38329999999999997</v>
      </c>
      <c r="C14" s="151"/>
      <c r="E14" s="147"/>
    </row>
    <row r="15" spans="1:5">
      <c r="A15" s="150">
        <v>5</v>
      </c>
      <c r="B15" s="148">
        <v>0.47920000000000001</v>
      </c>
      <c r="C15" s="151"/>
      <c r="E15" s="147"/>
    </row>
    <row r="16" spans="1:5">
      <c r="A16" s="150">
        <v>6</v>
      </c>
      <c r="B16" s="148">
        <v>0.57499999999999996</v>
      </c>
      <c r="C16" s="151"/>
      <c r="E16" s="147"/>
    </row>
    <row r="17" spans="1:5">
      <c r="A17" s="150">
        <v>7</v>
      </c>
      <c r="B17" s="148">
        <v>0.58330000000000004</v>
      </c>
      <c r="C17" s="151"/>
      <c r="E17" s="147"/>
    </row>
    <row r="18" spans="1:5">
      <c r="A18" s="150">
        <v>8</v>
      </c>
      <c r="B18" s="148">
        <v>0.66669999999999996</v>
      </c>
      <c r="C18" s="151"/>
      <c r="E18" s="147"/>
    </row>
    <row r="19" spans="1:5">
      <c r="A19" s="150">
        <v>9</v>
      </c>
      <c r="B19" s="148">
        <v>0.75</v>
      </c>
      <c r="C19" s="151"/>
      <c r="E19" s="147"/>
    </row>
    <row r="20" spans="1:5">
      <c r="A20" s="150">
        <v>10</v>
      </c>
      <c r="B20" s="148">
        <v>0.83330000000000004</v>
      </c>
      <c r="C20" s="151"/>
      <c r="E20" s="147"/>
    </row>
    <row r="21" spans="1:5">
      <c r="A21" s="150">
        <v>11</v>
      </c>
      <c r="B21" s="148">
        <v>0.91669999999999996</v>
      </c>
      <c r="C21" s="151"/>
      <c r="E21" s="147"/>
    </row>
    <row r="22" spans="1:5">
      <c r="A22" s="149">
        <v>12</v>
      </c>
      <c r="B22" s="148">
        <v>1</v>
      </c>
      <c r="C22" s="151"/>
      <c r="E22" s="147"/>
    </row>
    <row r="23" spans="1:5">
      <c r="A23" s="150">
        <v>13</v>
      </c>
      <c r="B23" s="148">
        <v>1.0809</v>
      </c>
      <c r="C23" s="151"/>
      <c r="E23" s="147"/>
    </row>
    <row r="24" spans="1:5">
      <c r="A24" s="150">
        <v>14</v>
      </c>
      <c r="B24" s="148">
        <v>1.1617999999999999</v>
      </c>
      <c r="C24" s="151"/>
      <c r="E24" s="147"/>
    </row>
    <row r="25" spans="1:5">
      <c r="A25" s="150">
        <v>15</v>
      </c>
      <c r="B25" s="148">
        <v>1.2426999999999999</v>
      </c>
      <c r="C25" s="151"/>
      <c r="E25" s="147"/>
    </row>
    <row r="26" spans="1:5">
      <c r="A26" s="150">
        <v>16</v>
      </c>
      <c r="B26" s="148">
        <v>1.3236000000000001</v>
      </c>
      <c r="C26" s="151"/>
      <c r="E26" s="147"/>
    </row>
    <row r="27" spans="1:5">
      <c r="A27" s="150">
        <v>17</v>
      </c>
      <c r="B27" s="148">
        <v>1.4045000000000001</v>
      </c>
      <c r="C27" s="151"/>
      <c r="E27" s="147"/>
    </row>
    <row r="28" spans="1:5">
      <c r="A28" s="150">
        <v>18</v>
      </c>
      <c r="B28" s="148">
        <v>1.4854000000000001</v>
      </c>
      <c r="C28" s="151"/>
      <c r="E28" s="147"/>
    </row>
    <row r="29" spans="1:5">
      <c r="A29" s="150">
        <v>19</v>
      </c>
      <c r="B29" s="148">
        <v>1.5663</v>
      </c>
      <c r="C29" s="151"/>
      <c r="E29" s="147"/>
    </row>
    <row r="30" spans="1:5">
      <c r="A30" s="150">
        <v>20</v>
      </c>
      <c r="B30" s="148">
        <v>1.6472</v>
      </c>
      <c r="C30" s="151"/>
      <c r="E30" s="147"/>
    </row>
    <row r="31" spans="1:5">
      <c r="A31" s="150">
        <v>21</v>
      </c>
      <c r="B31" s="148">
        <v>1.7281</v>
      </c>
      <c r="E31" s="147"/>
    </row>
    <row r="32" spans="1:5">
      <c r="A32" s="150">
        <v>22</v>
      </c>
      <c r="B32" s="148">
        <v>1.8089999999999999</v>
      </c>
      <c r="E32" s="147"/>
    </row>
    <row r="33" spans="1:5">
      <c r="A33" s="150">
        <v>23</v>
      </c>
      <c r="B33" s="148">
        <v>1.8898999999999999</v>
      </c>
      <c r="E33" s="147"/>
    </row>
    <row r="34" spans="1:5">
      <c r="A34" s="149">
        <v>24</v>
      </c>
      <c r="B34" s="148">
        <v>1.9708000000000001</v>
      </c>
      <c r="E34" s="147"/>
    </row>
    <row r="35" spans="1:5">
      <c r="A35" s="150">
        <v>25</v>
      </c>
      <c r="B35" s="148">
        <v>2.0493999999999999</v>
      </c>
      <c r="E35" s="147"/>
    </row>
    <row r="36" spans="1:5">
      <c r="A36" s="150">
        <v>26</v>
      </c>
      <c r="B36" s="148">
        <v>2.1278999999999999</v>
      </c>
      <c r="E36" s="147"/>
    </row>
    <row r="37" spans="1:5">
      <c r="A37" s="150">
        <v>27</v>
      </c>
      <c r="B37" s="148">
        <v>2.2065000000000001</v>
      </c>
      <c r="E37" s="147"/>
    </row>
    <row r="38" spans="1:5">
      <c r="A38" s="150">
        <v>28</v>
      </c>
      <c r="B38" s="148">
        <v>2.2850000000000001</v>
      </c>
      <c r="E38" s="147"/>
    </row>
    <row r="39" spans="1:5">
      <c r="A39" s="150">
        <v>29</v>
      </c>
      <c r="B39" s="148">
        <v>2.3635999999999999</v>
      </c>
      <c r="E39" s="147"/>
    </row>
    <row r="40" spans="1:5">
      <c r="A40" s="150">
        <v>30</v>
      </c>
      <c r="B40" s="148">
        <v>2.4420999999999999</v>
      </c>
      <c r="E40" s="147"/>
    </row>
    <row r="41" spans="1:5">
      <c r="A41" s="150">
        <v>31</v>
      </c>
      <c r="B41" s="148">
        <v>2.5207000000000002</v>
      </c>
      <c r="E41" s="147"/>
    </row>
    <row r="42" spans="1:5">
      <c r="A42" s="150">
        <v>32</v>
      </c>
      <c r="B42" s="148">
        <v>2.5992000000000002</v>
      </c>
      <c r="E42" s="147"/>
    </row>
    <row r="43" spans="1:5">
      <c r="A43" s="150">
        <v>33</v>
      </c>
      <c r="B43" s="148">
        <v>2.6777000000000002</v>
      </c>
      <c r="E43" s="147"/>
    </row>
    <row r="44" spans="1:5">
      <c r="A44" s="150">
        <v>34</v>
      </c>
      <c r="B44" s="148">
        <v>2.7563</v>
      </c>
      <c r="E44" s="147"/>
    </row>
    <row r="45" spans="1:5">
      <c r="A45" s="150">
        <v>35</v>
      </c>
      <c r="B45" s="148">
        <v>2.8348</v>
      </c>
      <c r="E45" s="147"/>
    </row>
    <row r="46" spans="1:5">
      <c r="A46" s="149">
        <v>36</v>
      </c>
      <c r="B46" s="148">
        <v>2.9134000000000002</v>
      </c>
      <c r="E46" s="147"/>
    </row>
    <row r="47" spans="1:5">
      <c r="A47" s="150">
        <v>37</v>
      </c>
      <c r="B47" s="148">
        <v>2.9895999999999998</v>
      </c>
      <c r="E47" s="147"/>
    </row>
    <row r="48" spans="1:5">
      <c r="A48" s="150">
        <v>38</v>
      </c>
      <c r="B48" s="148">
        <v>3.0659000000000001</v>
      </c>
      <c r="E48" s="147"/>
    </row>
    <row r="49" spans="1:5">
      <c r="A49" s="150">
        <v>39</v>
      </c>
      <c r="B49" s="148">
        <v>3.1421000000000001</v>
      </c>
      <c r="E49" s="147"/>
    </row>
    <row r="50" spans="1:5">
      <c r="A50" s="150">
        <v>40</v>
      </c>
      <c r="B50" s="148">
        <v>3.2183999999999999</v>
      </c>
      <c r="E50" s="147"/>
    </row>
    <row r="51" spans="1:5">
      <c r="A51" s="150">
        <v>41</v>
      </c>
      <c r="B51" s="148">
        <v>3.2946</v>
      </c>
      <c r="E51" s="147"/>
    </row>
    <row r="52" spans="1:5">
      <c r="A52" s="150">
        <v>42</v>
      </c>
      <c r="B52" s="148">
        <v>3.3708999999999998</v>
      </c>
      <c r="E52" s="147"/>
    </row>
    <row r="53" spans="1:5">
      <c r="A53" s="150">
        <v>43</v>
      </c>
      <c r="B53" s="148">
        <v>3.4470999999999998</v>
      </c>
      <c r="E53" s="147"/>
    </row>
    <row r="54" spans="1:5">
      <c r="A54" s="150">
        <v>44</v>
      </c>
      <c r="B54" s="148">
        <v>3.5234000000000001</v>
      </c>
      <c r="E54" s="147"/>
    </row>
    <row r="55" spans="1:5">
      <c r="A55" s="150">
        <v>45</v>
      </c>
      <c r="B55" s="148">
        <v>3.5996999999999999</v>
      </c>
      <c r="E55" s="147"/>
    </row>
    <row r="56" spans="1:5">
      <c r="A56" s="150">
        <v>46</v>
      </c>
      <c r="B56" s="148">
        <v>3.6758999999999999</v>
      </c>
      <c r="E56" s="147"/>
    </row>
    <row r="57" spans="1:5">
      <c r="A57" s="150">
        <v>47</v>
      </c>
      <c r="B57" s="148">
        <v>3.7522000000000002</v>
      </c>
      <c r="E57" s="147"/>
    </row>
    <row r="58" spans="1:5">
      <c r="A58" s="149">
        <v>48</v>
      </c>
      <c r="B58" s="148">
        <v>3.8283999999999998</v>
      </c>
      <c r="E58" s="147"/>
    </row>
    <row r="59" spans="1:5">
      <c r="A59" s="150">
        <v>49</v>
      </c>
      <c r="B59" s="148">
        <v>3.9024000000000001</v>
      </c>
      <c r="E59" s="147"/>
    </row>
    <row r="60" spans="1:5">
      <c r="A60" s="150">
        <v>50</v>
      </c>
      <c r="B60" s="148">
        <v>3.9765000000000001</v>
      </c>
      <c r="E60" s="147"/>
    </row>
    <row r="61" spans="1:5">
      <c r="A61" s="150">
        <v>51</v>
      </c>
      <c r="B61" s="148">
        <v>4.0505000000000004</v>
      </c>
      <c r="E61" s="147"/>
    </row>
    <row r="62" spans="1:5">
      <c r="A62" s="150">
        <v>52</v>
      </c>
      <c r="B62" s="148">
        <v>4.1245000000000003</v>
      </c>
      <c r="E62" s="147"/>
    </row>
    <row r="63" spans="1:5">
      <c r="A63" s="150">
        <v>53</v>
      </c>
      <c r="B63" s="148">
        <v>4.1985999999999999</v>
      </c>
      <c r="E63" s="147"/>
    </row>
    <row r="64" spans="1:5">
      <c r="A64" s="150">
        <v>54</v>
      </c>
      <c r="B64" s="148">
        <v>4.2725999999999997</v>
      </c>
      <c r="E64" s="147"/>
    </row>
    <row r="65" spans="1:5">
      <c r="A65" s="150">
        <v>55</v>
      </c>
      <c r="B65" s="148">
        <v>4.3465999999999996</v>
      </c>
      <c r="E65" s="147"/>
    </row>
    <row r="66" spans="1:5">
      <c r="A66" s="150">
        <v>56</v>
      </c>
      <c r="B66" s="148">
        <v>4.4207000000000001</v>
      </c>
      <c r="E66" s="147"/>
    </row>
    <row r="67" spans="1:5">
      <c r="A67" s="150">
        <v>57</v>
      </c>
      <c r="B67" s="148">
        <v>4.4946999999999999</v>
      </c>
      <c r="E67" s="147"/>
    </row>
    <row r="68" spans="1:5">
      <c r="A68" s="150">
        <v>58</v>
      </c>
      <c r="B68" s="148">
        <v>4.5686999999999998</v>
      </c>
      <c r="E68" s="147"/>
    </row>
    <row r="69" spans="1:5">
      <c r="A69" s="150">
        <v>59</v>
      </c>
      <c r="B69" s="148">
        <v>4.6428000000000003</v>
      </c>
      <c r="E69" s="147"/>
    </row>
    <row r="70" spans="1:5">
      <c r="A70" s="149">
        <v>60</v>
      </c>
      <c r="B70" s="148">
        <v>4.7168000000000001</v>
      </c>
      <c r="E70" s="147"/>
    </row>
  </sheetData>
  <sheetProtection password="F4F5" sheet="1" objects="1" scenarios="1" selectLockedCells="1" selectUnlockedCells="1"/>
  <printOptions horizontalCentered="1" verticalCentered="1"/>
  <pageMargins left="0.78740157480314965" right="0.78740157480314965" top="0.98425196850393704" bottom="0.98425196850393704" header="0" footer="0"/>
  <pageSetup scale="80" orientation="portrait" r:id="rId1"/>
  <headerFooter alignWithMargins="0"/>
</worksheet>
</file>

<file path=xl/worksheets/sheet31.xml><?xml version="1.0" encoding="utf-8"?>
<worksheet xmlns="http://schemas.openxmlformats.org/spreadsheetml/2006/main" xmlns:r="http://schemas.openxmlformats.org/officeDocument/2006/relationships">
  <sheetPr codeName="Hoja30">
    <pageSetUpPr fitToPage="1"/>
  </sheetPr>
  <dimension ref="A4:M74"/>
  <sheetViews>
    <sheetView topLeftCell="B6" workbookViewId="0">
      <pane xSplit="1" ySplit="8" topLeftCell="C14" activePane="bottomRight" state="frozen"/>
      <selection activeCell="F35" sqref="F35"/>
      <selection pane="topRight" activeCell="F35" sqref="F35"/>
      <selection pane="bottomLeft" activeCell="F35" sqref="F35"/>
      <selection pane="bottomRight" activeCell="M6" sqref="B1:M65536"/>
    </sheetView>
  </sheetViews>
  <sheetFormatPr baseColWidth="10" defaultColWidth="9.33203125" defaultRowHeight="12.75"/>
  <cols>
    <col min="1" max="1" width="15" style="77" hidden="1" customWidth="1"/>
    <col min="2" max="2" width="16.1640625" style="77" hidden="1" customWidth="1"/>
    <col min="3" max="4" width="12" style="77" hidden="1" customWidth="1"/>
    <col min="5" max="5" width="13" style="77" hidden="1" customWidth="1"/>
    <col min="6" max="6" width="12" style="77" hidden="1" customWidth="1"/>
    <col min="7" max="7" width="5.6640625" style="77" hidden="1" customWidth="1"/>
    <col min="8" max="13" width="9.33203125" style="77" hidden="1" customWidth="1"/>
    <col min="14" max="16384" width="9.33203125" style="77"/>
  </cols>
  <sheetData>
    <row r="4" spans="1:7" ht="23.25">
      <c r="B4" s="1018" t="s">
        <v>30</v>
      </c>
      <c r="C4" s="1018"/>
      <c r="D4" s="1018"/>
      <c r="E4" s="1018"/>
      <c r="F4" s="1018"/>
      <c r="G4" s="1018"/>
    </row>
    <row r="5" spans="1:7" ht="5.25" customHeight="1"/>
    <row r="6" spans="1:7" ht="15.75">
      <c r="B6" s="1019" t="s">
        <v>31</v>
      </c>
      <c r="C6" s="1019"/>
      <c r="D6" s="1019"/>
      <c r="E6" s="1019"/>
      <c r="F6" s="1019"/>
      <c r="G6" s="1019"/>
    </row>
    <row r="7" spans="1:7" s="173" customFormat="1" ht="3.75" customHeight="1"/>
    <row r="8" spans="1:7">
      <c r="A8" s="172"/>
    </row>
    <row r="9" spans="1:7" ht="6.75" customHeight="1"/>
    <row r="10" spans="1:7" ht="18">
      <c r="B10" s="171"/>
    </row>
    <row r="11" spans="1:7" ht="13.5" thickBot="1">
      <c r="C11" s="1023" t="s">
        <v>98</v>
      </c>
      <c r="D11" s="1023"/>
      <c r="E11" s="1023"/>
      <c r="F11" s="1023"/>
    </row>
    <row r="12" spans="1:7" ht="13.5" thickTop="1">
      <c r="A12" s="170" t="s">
        <v>34</v>
      </c>
      <c r="B12" s="169" t="s">
        <v>32</v>
      </c>
      <c r="C12" s="168" t="s">
        <v>33</v>
      </c>
      <c r="D12" s="168"/>
      <c r="E12" s="168"/>
      <c r="F12" s="167"/>
    </row>
    <row r="13" spans="1:7" ht="13.5" thickBot="1">
      <c r="A13" s="166"/>
      <c r="B13" s="165" t="s">
        <v>35</v>
      </c>
      <c r="C13" s="164" t="s">
        <v>36</v>
      </c>
      <c r="D13" s="164" t="s">
        <v>37</v>
      </c>
      <c r="E13" s="164" t="s">
        <v>38</v>
      </c>
      <c r="F13" s="163" t="s">
        <v>39</v>
      </c>
    </row>
    <row r="14" spans="1:7" ht="13.5" thickTop="1">
      <c r="C14" s="77">
        <v>360</v>
      </c>
      <c r="D14" s="77">
        <v>180</v>
      </c>
      <c r="E14" s="77">
        <v>90</v>
      </c>
      <c r="F14" s="77">
        <v>30</v>
      </c>
    </row>
    <row r="15" spans="1:7">
      <c r="A15" s="1020">
        <v>0.18</v>
      </c>
      <c r="B15" s="162">
        <v>1</v>
      </c>
      <c r="C15" s="161">
        <v>0</v>
      </c>
      <c r="D15" s="161">
        <v>0</v>
      </c>
      <c r="E15" s="161">
        <v>0</v>
      </c>
      <c r="F15" s="161">
        <v>0</v>
      </c>
    </row>
    <row r="16" spans="1:7">
      <c r="A16" s="1021"/>
      <c r="B16" s="162">
        <v>2</v>
      </c>
      <c r="C16" s="161">
        <v>0</v>
      </c>
      <c r="D16" s="161">
        <v>0</v>
      </c>
      <c r="E16" s="161">
        <v>0</v>
      </c>
      <c r="F16" s="161">
        <v>0</v>
      </c>
    </row>
    <row r="17" spans="1:6">
      <c r="A17" s="1021"/>
      <c r="B17" s="162">
        <v>3</v>
      </c>
      <c r="C17" s="161">
        <v>0</v>
      </c>
      <c r="D17" s="161">
        <v>0</v>
      </c>
      <c r="E17" s="161">
        <v>0</v>
      </c>
      <c r="F17" s="161">
        <v>0</v>
      </c>
    </row>
    <row r="18" spans="1:6">
      <c r="A18" s="1021"/>
      <c r="B18" s="162">
        <v>4</v>
      </c>
      <c r="C18" s="161">
        <v>0</v>
      </c>
      <c r="D18" s="161">
        <v>0</v>
      </c>
      <c r="E18" s="161">
        <v>0</v>
      </c>
      <c r="F18" s="161">
        <v>0</v>
      </c>
    </row>
    <row r="19" spans="1:6">
      <c r="A19" s="1021"/>
      <c r="B19" s="162">
        <v>5</v>
      </c>
      <c r="C19" s="161">
        <v>0</v>
      </c>
      <c r="D19" s="161">
        <v>0</v>
      </c>
      <c r="E19" s="161">
        <v>0</v>
      </c>
      <c r="F19" s="161">
        <v>0</v>
      </c>
    </row>
    <row r="20" spans="1:6">
      <c r="A20" s="1021"/>
      <c r="B20" s="162">
        <v>6</v>
      </c>
      <c r="C20" s="161"/>
      <c r="D20" s="161">
        <v>0</v>
      </c>
      <c r="E20" s="161">
        <v>0</v>
      </c>
      <c r="F20" s="161">
        <v>0</v>
      </c>
    </row>
    <row r="21" spans="1:6">
      <c r="A21" s="1021"/>
      <c r="B21" s="162">
        <v>7</v>
      </c>
      <c r="C21" s="161"/>
      <c r="D21" s="161">
        <v>0</v>
      </c>
      <c r="E21" s="161">
        <v>0</v>
      </c>
      <c r="F21" s="161">
        <v>0</v>
      </c>
    </row>
    <row r="22" spans="1:6">
      <c r="A22" s="1021"/>
      <c r="B22" s="162">
        <v>8</v>
      </c>
      <c r="C22" s="161"/>
      <c r="D22" s="161">
        <v>0</v>
      </c>
      <c r="E22" s="161">
        <v>0</v>
      </c>
      <c r="F22" s="161">
        <v>0</v>
      </c>
    </row>
    <row r="23" spans="1:6">
      <c r="A23" s="1021"/>
      <c r="B23" s="162">
        <v>9</v>
      </c>
      <c r="C23" s="161"/>
      <c r="D23" s="161">
        <v>0</v>
      </c>
      <c r="E23" s="161">
        <v>0</v>
      </c>
      <c r="F23" s="161">
        <v>0</v>
      </c>
    </row>
    <row r="24" spans="1:6">
      <c r="A24" s="1021"/>
      <c r="B24" s="162">
        <v>10</v>
      </c>
      <c r="C24" s="161"/>
      <c r="D24" s="161">
        <v>0</v>
      </c>
      <c r="E24" s="161">
        <v>0</v>
      </c>
      <c r="F24" s="161">
        <v>0</v>
      </c>
    </row>
    <row r="25" spans="1:6">
      <c r="A25" s="1021"/>
      <c r="B25" s="162">
        <v>11</v>
      </c>
      <c r="C25" s="161"/>
      <c r="D25" s="161"/>
      <c r="E25" s="161">
        <v>0</v>
      </c>
      <c r="F25" s="161">
        <v>0</v>
      </c>
    </row>
    <row r="26" spans="1:6">
      <c r="A26" s="1021"/>
      <c r="B26" s="162">
        <v>12</v>
      </c>
      <c r="C26" s="161"/>
      <c r="D26" s="161"/>
      <c r="E26" s="161">
        <v>0</v>
      </c>
      <c r="F26" s="161">
        <v>0</v>
      </c>
    </row>
    <row r="27" spans="1:6">
      <c r="A27" s="1021"/>
      <c r="B27" s="162">
        <v>13</v>
      </c>
      <c r="C27" s="161"/>
      <c r="D27" s="161"/>
      <c r="E27" s="161">
        <v>0</v>
      </c>
      <c r="F27" s="161">
        <v>0</v>
      </c>
    </row>
    <row r="28" spans="1:6">
      <c r="A28" s="1021"/>
      <c r="B28" s="162">
        <v>14</v>
      </c>
      <c r="C28" s="161"/>
      <c r="D28" s="161"/>
      <c r="E28" s="161">
        <v>0</v>
      </c>
      <c r="F28" s="161">
        <v>0</v>
      </c>
    </row>
    <row r="29" spans="1:6">
      <c r="A29" s="1021"/>
      <c r="B29" s="162">
        <v>15</v>
      </c>
      <c r="C29" s="161"/>
      <c r="D29" s="161"/>
      <c r="E29" s="161">
        <v>0</v>
      </c>
      <c r="F29" s="161">
        <v>0</v>
      </c>
    </row>
    <row r="30" spans="1:6">
      <c r="A30" s="1021"/>
      <c r="B30" s="162">
        <v>16</v>
      </c>
      <c r="C30" s="161"/>
      <c r="D30" s="161"/>
      <c r="E30" s="161">
        <v>0</v>
      </c>
      <c r="F30" s="161">
        <v>0</v>
      </c>
    </row>
    <row r="31" spans="1:6">
      <c r="A31" s="1021"/>
      <c r="B31" s="162">
        <v>17</v>
      </c>
      <c r="C31" s="161"/>
      <c r="D31" s="161"/>
      <c r="E31" s="161">
        <v>0</v>
      </c>
      <c r="F31" s="161">
        <v>0</v>
      </c>
    </row>
    <row r="32" spans="1:6">
      <c r="A32" s="1021"/>
      <c r="B32" s="162">
        <v>18</v>
      </c>
      <c r="C32" s="161"/>
      <c r="D32" s="161"/>
      <c r="E32" s="161">
        <v>0</v>
      </c>
      <c r="F32" s="161">
        <v>0</v>
      </c>
    </row>
    <row r="33" spans="1:6">
      <c r="A33" s="1021"/>
      <c r="B33" s="162">
        <v>19</v>
      </c>
      <c r="C33" s="161"/>
      <c r="D33" s="161"/>
      <c r="E33" s="161">
        <v>0</v>
      </c>
      <c r="F33" s="161">
        <v>0</v>
      </c>
    </row>
    <row r="34" spans="1:6">
      <c r="A34" s="1021"/>
      <c r="B34" s="162">
        <v>20</v>
      </c>
      <c r="C34" s="161"/>
      <c r="D34" s="161"/>
      <c r="E34" s="161">
        <v>0</v>
      </c>
      <c r="F34" s="161">
        <v>0</v>
      </c>
    </row>
    <row r="35" spans="1:6">
      <c r="A35" s="1021"/>
      <c r="B35" s="162">
        <v>21</v>
      </c>
      <c r="C35" s="161"/>
      <c r="D35" s="161"/>
      <c r="E35" s="161"/>
      <c r="F35" s="161">
        <v>0</v>
      </c>
    </row>
    <row r="36" spans="1:6">
      <c r="A36" s="1021"/>
      <c r="B36" s="162">
        <v>22</v>
      </c>
      <c r="C36" s="161"/>
      <c r="D36" s="161"/>
      <c r="E36" s="161"/>
      <c r="F36" s="161">
        <v>0</v>
      </c>
    </row>
    <row r="37" spans="1:6">
      <c r="A37" s="1021"/>
      <c r="B37" s="162">
        <v>23</v>
      </c>
      <c r="C37" s="161"/>
      <c r="D37" s="161"/>
      <c r="E37" s="161"/>
      <c r="F37" s="161">
        <v>0</v>
      </c>
    </row>
    <row r="38" spans="1:6">
      <c r="A38" s="1021"/>
      <c r="B38" s="162">
        <v>24</v>
      </c>
      <c r="C38" s="161"/>
      <c r="D38" s="161"/>
      <c r="E38" s="161"/>
      <c r="F38" s="161">
        <v>0</v>
      </c>
    </row>
    <row r="39" spans="1:6">
      <c r="A39" s="1021"/>
      <c r="B39" s="162">
        <v>25</v>
      </c>
      <c r="C39" s="161"/>
      <c r="D39" s="161"/>
      <c r="E39" s="161"/>
      <c r="F39" s="161">
        <v>0</v>
      </c>
    </row>
    <row r="40" spans="1:6">
      <c r="A40" s="1021"/>
      <c r="B40" s="162">
        <v>26</v>
      </c>
      <c r="C40" s="161"/>
      <c r="D40" s="161"/>
      <c r="E40" s="161"/>
      <c r="F40" s="161">
        <v>0</v>
      </c>
    </row>
    <row r="41" spans="1:6">
      <c r="A41" s="1021"/>
      <c r="B41" s="162">
        <v>27</v>
      </c>
      <c r="C41" s="161"/>
      <c r="D41" s="161"/>
      <c r="E41" s="161"/>
      <c r="F41" s="161">
        <v>0</v>
      </c>
    </row>
    <row r="42" spans="1:6">
      <c r="A42" s="1021"/>
      <c r="B42" s="162">
        <v>28</v>
      </c>
      <c r="C42" s="161"/>
      <c r="D42" s="161"/>
      <c r="E42" s="161"/>
      <c r="F42" s="161">
        <v>0</v>
      </c>
    </row>
    <row r="43" spans="1:6">
      <c r="A43" s="1021"/>
      <c r="B43" s="162">
        <v>29</v>
      </c>
      <c r="C43" s="161"/>
      <c r="D43" s="161"/>
      <c r="E43" s="161"/>
      <c r="F43" s="161">
        <v>0</v>
      </c>
    </row>
    <row r="44" spans="1:6">
      <c r="A44" s="1021"/>
      <c r="B44" s="162">
        <v>30</v>
      </c>
      <c r="C44" s="161"/>
      <c r="D44" s="161"/>
      <c r="E44" s="161"/>
      <c r="F44" s="161">
        <v>0</v>
      </c>
    </row>
    <row r="45" spans="1:6">
      <c r="A45" s="1021"/>
      <c r="B45" s="162">
        <v>31</v>
      </c>
      <c r="C45" s="161"/>
      <c r="D45" s="161"/>
      <c r="E45" s="161"/>
      <c r="F45" s="161">
        <v>0</v>
      </c>
    </row>
    <row r="46" spans="1:6">
      <c r="A46" s="1021"/>
      <c r="B46" s="162">
        <v>32</v>
      </c>
      <c r="C46" s="161"/>
      <c r="D46" s="161"/>
      <c r="E46" s="161"/>
      <c r="F46" s="161">
        <v>0</v>
      </c>
    </row>
    <row r="47" spans="1:6">
      <c r="A47" s="1021"/>
      <c r="B47" s="162">
        <v>33</v>
      </c>
      <c r="C47" s="161"/>
      <c r="D47" s="161"/>
      <c r="E47" s="161"/>
      <c r="F47" s="161">
        <v>0</v>
      </c>
    </row>
    <row r="48" spans="1:6">
      <c r="A48" s="1021"/>
      <c r="B48" s="162">
        <v>34</v>
      </c>
      <c r="C48" s="161"/>
      <c r="D48" s="161"/>
      <c r="E48" s="161"/>
      <c r="F48" s="161">
        <v>0</v>
      </c>
    </row>
    <row r="49" spans="1:6">
      <c r="A49" s="1021"/>
      <c r="B49" s="162">
        <v>35</v>
      </c>
      <c r="C49" s="161"/>
      <c r="D49" s="161"/>
      <c r="E49" s="161"/>
      <c r="F49" s="161">
        <v>0</v>
      </c>
    </row>
    <row r="50" spans="1:6">
      <c r="A50" s="1021"/>
      <c r="B50" s="162">
        <v>36</v>
      </c>
      <c r="C50" s="161"/>
      <c r="D50" s="161"/>
      <c r="E50" s="161"/>
      <c r="F50" s="161">
        <v>0</v>
      </c>
    </row>
    <row r="51" spans="1:6">
      <c r="A51" s="1021"/>
      <c r="B51" s="162">
        <v>37</v>
      </c>
      <c r="C51" s="161"/>
      <c r="D51" s="161"/>
      <c r="E51" s="161"/>
      <c r="F51" s="161">
        <v>0</v>
      </c>
    </row>
    <row r="52" spans="1:6">
      <c r="A52" s="1021"/>
      <c r="B52" s="162">
        <v>38</v>
      </c>
      <c r="C52" s="161"/>
      <c r="D52" s="161"/>
      <c r="E52" s="161"/>
      <c r="F52" s="161">
        <v>0</v>
      </c>
    </row>
    <row r="53" spans="1:6">
      <c r="A53" s="1021"/>
      <c r="B53" s="162">
        <v>39</v>
      </c>
      <c r="C53" s="161"/>
      <c r="D53" s="161"/>
      <c r="E53" s="161"/>
      <c r="F53" s="161">
        <v>0</v>
      </c>
    </row>
    <row r="54" spans="1:6">
      <c r="A54" s="1021"/>
      <c r="B54" s="162">
        <v>40</v>
      </c>
      <c r="C54" s="161"/>
      <c r="D54" s="161"/>
      <c r="E54" s="161"/>
      <c r="F54" s="161">
        <v>0</v>
      </c>
    </row>
    <row r="55" spans="1:6">
      <c r="A55" s="1021"/>
      <c r="B55" s="162">
        <v>41</v>
      </c>
      <c r="C55" s="161"/>
      <c r="D55" s="161"/>
      <c r="E55" s="161"/>
      <c r="F55" s="161">
        <v>0</v>
      </c>
    </row>
    <row r="56" spans="1:6">
      <c r="A56" s="1021"/>
      <c r="B56" s="162">
        <v>42</v>
      </c>
      <c r="C56" s="161"/>
      <c r="D56" s="161"/>
      <c r="E56" s="161"/>
      <c r="F56" s="161">
        <v>0</v>
      </c>
    </row>
    <row r="57" spans="1:6">
      <c r="A57" s="1021"/>
      <c r="B57" s="162">
        <v>43</v>
      </c>
      <c r="C57" s="161"/>
      <c r="D57" s="161"/>
      <c r="E57" s="161"/>
      <c r="F57" s="161">
        <v>0</v>
      </c>
    </row>
    <row r="58" spans="1:6">
      <c r="A58" s="1021"/>
      <c r="B58" s="162">
        <v>44</v>
      </c>
      <c r="C58" s="161"/>
      <c r="D58" s="161"/>
      <c r="E58" s="161"/>
      <c r="F58" s="161">
        <v>0</v>
      </c>
    </row>
    <row r="59" spans="1:6">
      <c r="A59" s="1021"/>
      <c r="B59" s="162">
        <v>45</v>
      </c>
      <c r="C59" s="161"/>
      <c r="D59" s="161"/>
      <c r="E59" s="161"/>
      <c r="F59" s="161">
        <v>0</v>
      </c>
    </row>
    <row r="60" spans="1:6">
      <c r="A60" s="1021"/>
      <c r="B60" s="162">
        <v>46</v>
      </c>
      <c r="C60" s="161"/>
      <c r="D60" s="161"/>
      <c r="E60" s="161"/>
      <c r="F60" s="161">
        <v>0</v>
      </c>
    </row>
    <row r="61" spans="1:6">
      <c r="A61" s="1021"/>
      <c r="B61" s="162">
        <v>47</v>
      </c>
      <c r="C61" s="161"/>
      <c r="D61" s="161"/>
      <c r="E61" s="161"/>
      <c r="F61" s="161">
        <v>0</v>
      </c>
    </row>
    <row r="62" spans="1:6">
      <c r="A62" s="1021"/>
      <c r="B62" s="162">
        <v>48</v>
      </c>
      <c r="C62" s="161"/>
      <c r="D62" s="161"/>
      <c r="E62" s="161"/>
      <c r="F62" s="161">
        <v>0</v>
      </c>
    </row>
    <row r="63" spans="1:6">
      <c r="A63" s="1021"/>
      <c r="B63" s="162">
        <v>49</v>
      </c>
      <c r="C63" s="161"/>
      <c r="D63" s="161"/>
      <c r="E63" s="161"/>
      <c r="F63" s="161">
        <v>0</v>
      </c>
    </row>
    <row r="64" spans="1:6">
      <c r="A64" s="1021"/>
      <c r="B64" s="162">
        <v>50</v>
      </c>
      <c r="C64" s="161"/>
      <c r="D64" s="161"/>
      <c r="E64" s="161"/>
      <c r="F64" s="161">
        <v>0</v>
      </c>
    </row>
    <row r="65" spans="1:6">
      <c r="A65" s="1021"/>
      <c r="B65" s="162">
        <v>51</v>
      </c>
      <c r="C65" s="161"/>
      <c r="D65" s="161"/>
      <c r="E65" s="161"/>
      <c r="F65" s="161">
        <v>0</v>
      </c>
    </row>
    <row r="66" spans="1:6">
      <c r="A66" s="1021"/>
      <c r="B66" s="162">
        <v>52</v>
      </c>
      <c r="C66" s="161"/>
      <c r="D66" s="161"/>
      <c r="E66" s="161"/>
      <c r="F66" s="161">
        <v>0</v>
      </c>
    </row>
    <row r="67" spans="1:6">
      <c r="A67" s="1021"/>
      <c r="B67" s="162">
        <v>53</v>
      </c>
      <c r="C67" s="161"/>
      <c r="D67" s="161"/>
      <c r="E67" s="161"/>
      <c r="F67" s="161">
        <v>0</v>
      </c>
    </row>
    <row r="68" spans="1:6">
      <c r="A68" s="1021"/>
      <c r="B68" s="162">
        <v>54</v>
      </c>
      <c r="C68" s="161"/>
      <c r="D68" s="161"/>
      <c r="E68" s="161"/>
      <c r="F68" s="161">
        <v>0</v>
      </c>
    </row>
    <row r="69" spans="1:6">
      <c r="A69" s="1021"/>
      <c r="B69" s="162">
        <v>55</v>
      </c>
      <c r="C69" s="161"/>
      <c r="D69" s="161"/>
      <c r="E69" s="161"/>
      <c r="F69" s="161">
        <v>0</v>
      </c>
    </row>
    <row r="70" spans="1:6">
      <c r="A70" s="1021"/>
      <c r="B70" s="162">
        <v>56</v>
      </c>
      <c r="C70" s="161"/>
      <c r="D70" s="161"/>
      <c r="E70" s="161"/>
      <c r="F70" s="161">
        <v>0</v>
      </c>
    </row>
    <row r="71" spans="1:6">
      <c r="A71" s="1021"/>
      <c r="B71" s="162">
        <v>57</v>
      </c>
      <c r="C71" s="161"/>
      <c r="D71" s="161"/>
      <c r="E71" s="161"/>
      <c r="F71" s="161">
        <v>0</v>
      </c>
    </row>
    <row r="72" spans="1:6">
      <c r="A72" s="1021"/>
      <c r="B72" s="162">
        <v>58</v>
      </c>
      <c r="C72" s="161"/>
      <c r="D72" s="161"/>
      <c r="E72" s="161"/>
      <c r="F72" s="161">
        <v>0</v>
      </c>
    </row>
    <row r="73" spans="1:6">
      <c r="A73" s="1021"/>
      <c r="B73" s="162">
        <v>59</v>
      </c>
      <c r="C73" s="161"/>
      <c r="D73" s="161"/>
      <c r="E73" s="161"/>
      <c r="F73" s="161">
        <v>0</v>
      </c>
    </row>
    <row r="74" spans="1:6">
      <c r="A74" s="1022"/>
      <c r="B74" s="162">
        <v>60</v>
      </c>
      <c r="C74" s="161"/>
      <c r="D74" s="161"/>
      <c r="E74" s="161"/>
      <c r="F74" s="161">
        <v>0</v>
      </c>
    </row>
  </sheetData>
  <sheetProtection password="F4F5" sheet="1" objects="1" scenarios="1" selectLockedCells="1" selectUnlockedCells="1"/>
  <mergeCells count="4">
    <mergeCell ref="B4:G4"/>
    <mergeCell ref="B6:G6"/>
    <mergeCell ref="A15:A74"/>
    <mergeCell ref="C11:F11"/>
  </mergeCells>
  <printOptions horizontalCentered="1" verticalCentered="1"/>
  <pageMargins left="0.78740157480314965" right="0.78740157480314965" top="0.39370078740157483" bottom="0.39370078740157483" header="0" footer="0"/>
  <pageSetup scale="90"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sheetPr>
    <tabColor theme="3" tint="-0.249977111117893"/>
    <pageSetUpPr fitToPage="1"/>
  </sheetPr>
  <dimension ref="A1:J64"/>
  <sheetViews>
    <sheetView workbookViewId="0">
      <selection activeCell="G1" sqref="G1:IV65536"/>
    </sheetView>
  </sheetViews>
  <sheetFormatPr baseColWidth="10" defaultColWidth="0" defaultRowHeight="12.75" customHeight="1" zeroHeight="1"/>
  <cols>
    <col min="1" max="1" width="23.5" style="440" customWidth="1"/>
    <col min="2" max="2" width="33.6640625" style="440" customWidth="1"/>
    <col min="3" max="3" width="16.83203125" style="440" customWidth="1"/>
    <col min="4" max="4" width="16" style="440" customWidth="1"/>
    <col min="5" max="5" width="11.83203125" style="440" bestFit="1" customWidth="1"/>
    <col min="6" max="6" width="13.33203125" style="440" customWidth="1"/>
    <col min="7" max="7" width="3" style="440" hidden="1"/>
    <col min="8" max="16384" width="13.33203125" style="440" hidden="1"/>
  </cols>
  <sheetData>
    <row r="1" spans="1:10"/>
    <row r="2" spans="1:10"/>
    <row r="3" spans="1:10"/>
    <row r="4" spans="1:10">
      <c r="D4" s="441" t="s">
        <v>309</v>
      </c>
      <c r="E4" s="442">
        <f>IF(Captura!P67="AXA",Captura!K67,"CANCELADO")</f>
        <v>41963</v>
      </c>
    </row>
    <row r="5" spans="1:10">
      <c r="D5" s="441" t="s">
        <v>310</v>
      </c>
      <c r="E5" s="443"/>
      <c r="H5" s="440" t="s">
        <v>98</v>
      </c>
      <c r="J5" s="440" t="s">
        <v>311</v>
      </c>
    </row>
    <row r="6" spans="1:10">
      <c r="E6" s="444"/>
      <c r="H6" s="445" t="s">
        <v>312</v>
      </c>
      <c r="I6" s="440" t="s">
        <v>313</v>
      </c>
      <c r="J6" s="445" t="s">
        <v>314</v>
      </c>
    </row>
    <row r="7" spans="1:10">
      <c r="H7" s="445" t="s">
        <v>315</v>
      </c>
      <c r="I7" s="440" t="s">
        <v>316</v>
      </c>
      <c r="J7" s="445" t="s">
        <v>317</v>
      </c>
    </row>
    <row r="8" spans="1:10" ht="22.5">
      <c r="B8" s="446" t="str">
        <f>IF(Captura!P67="AXA","CARTA COBERTURA No "&amp;IF(Captura!K65="sí",'C.C. AXA'!H7,'C.C. AXA'!H6),"CARTA COBERTURA No CANCELADO")</f>
        <v>CARTA COBERTURA No ZB014961</v>
      </c>
      <c r="C8" s="446"/>
    </row>
    <row r="9" spans="1:10">
      <c r="B9" s="447" t="s">
        <v>318</v>
      </c>
      <c r="C9" s="447"/>
    </row>
    <row r="10" spans="1:10" ht="8.25" customHeight="1">
      <c r="B10" s="447"/>
      <c r="C10" s="447"/>
    </row>
    <row r="11" spans="1:10">
      <c r="B11" s="447"/>
      <c r="C11" s="447"/>
    </row>
    <row r="12" spans="1:10">
      <c r="A12" s="1026" t="s">
        <v>319</v>
      </c>
      <c r="B12" s="1026"/>
      <c r="C12" s="448">
        <f>IF(Captura!P67="axa",E4,"CANCELADO")</f>
        <v>41963</v>
      </c>
      <c r="D12" s="1027" t="s">
        <v>320</v>
      </c>
      <c r="E12" s="1027"/>
    </row>
    <row r="13" spans="1:10">
      <c r="A13" s="1028" t="s">
        <v>321</v>
      </c>
      <c r="B13" s="1028"/>
      <c r="C13" s="1028"/>
      <c r="D13" s="1028"/>
      <c r="E13" s="1028"/>
    </row>
    <row r="14" spans="1:10">
      <c r="A14" s="1028"/>
      <c r="B14" s="1028"/>
      <c r="C14" s="1028"/>
      <c r="D14" s="1028"/>
      <c r="E14" s="1028"/>
    </row>
    <row r="15" spans="1:10">
      <c r="A15" s="1028"/>
      <c r="B15" s="1028"/>
      <c r="C15" s="1028"/>
      <c r="D15" s="1028"/>
      <c r="E15" s="1028"/>
    </row>
    <row r="16" spans="1:10">
      <c r="B16" s="449"/>
      <c r="C16" s="449"/>
    </row>
    <row r="17" spans="1:6" ht="21.75">
      <c r="A17" s="450" t="s">
        <v>322</v>
      </c>
      <c r="C17" s="451"/>
      <c r="D17" s="452"/>
      <c r="E17" s="453"/>
      <c r="F17" s="452"/>
    </row>
    <row r="18" spans="1:6">
      <c r="A18" s="449" t="s">
        <v>323</v>
      </c>
      <c r="B18" s="454" t="str">
        <f>IF(Captura!P67="AXA",UPPER("CONAUTO, S.A. DE C.V. Y/O "&amp;IF(Captura!L10="física",Captura!E12&amp;" "&amp;Captura!E13&amp;" "&amp;Captura!N13,Captura!E12)),"CANCELADO")</f>
        <v>CONAUTO, S.A. DE C.V. Y/O 0 0 0</v>
      </c>
      <c r="C18" s="455"/>
    </row>
    <row r="19" spans="1:6">
      <c r="A19" s="449" t="s">
        <v>324</v>
      </c>
      <c r="B19" s="454" t="str">
        <f>IF(Captura!P67="AXA",UPPER(IF(Captura!K65="SÍ","CON890518P51","")),"CANCELADO")</f>
        <v>CON890518P51</v>
      </c>
      <c r="D19" s="449"/>
      <c r="E19" s="455"/>
    </row>
    <row r="20" spans="1:6">
      <c r="A20" s="449" t="s">
        <v>325</v>
      </c>
      <c r="B20" s="454" t="str">
        <f>IF(Captura!P67="AXA",UPPER(IF(Captura!K65="SÍ","AV MARIANO ESCOBEDO # 498,PISO 8",Captura!E17)),"CANCELADO")</f>
        <v>AV MARIANO ESCOBEDO # 498,PISO 8</v>
      </c>
      <c r="C20" s="456" t="s">
        <v>326</v>
      </c>
      <c r="D20" s="454" t="str">
        <f>IF(Captura!P67="AXA",UPPER(IF(Captura!K65="SÍ","ANZURES",Captura!O17)),"CANCELADO")</f>
        <v>ANZURES</v>
      </c>
    </row>
    <row r="21" spans="1:6">
      <c r="A21" s="449" t="s">
        <v>327</v>
      </c>
      <c r="B21" s="457" t="str">
        <f>IF(Captura!P67="AXA",UPPER(IF(Captura!K65="SÍ","MIGUEL HIDALGO, D.F.",(Captura!E18&amp;", "&amp;Captura!M18))),"CANCELADO")</f>
        <v>MIGUEL HIDALGO, D.F.</v>
      </c>
      <c r="C21" s="456" t="s">
        <v>328</v>
      </c>
      <c r="D21" s="454">
        <f>IF(Captura!P67="AXA",IF(Captura!K65="SÍ",11590,Captura!S18),"CANCELADO")</f>
        <v>11590</v>
      </c>
    </row>
    <row r="22" spans="1:6" ht="10.5" customHeight="1">
      <c r="A22" s="449"/>
      <c r="C22" s="455"/>
    </row>
    <row r="23" spans="1:6">
      <c r="A23" s="450" t="s">
        <v>329</v>
      </c>
    </row>
    <row r="24" spans="1:6">
      <c r="A24" s="449" t="s">
        <v>330</v>
      </c>
      <c r="B24" s="454" t="s">
        <v>331</v>
      </c>
      <c r="C24" s="449"/>
    </row>
    <row r="25" spans="1:6">
      <c r="A25" s="449" t="s">
        <v>332</v>
      </c>
      <c r="B25" s="458" t="s">
        <v>333</v>
      </c>
      <c r="C25" s="456" t="s">
        <v>334</v>
      </c>
      <c r="D25" s="458" t="s">
        <v>335</v>
      </c>
    </row>
    <row r="26" spans="1:6" ht="6.75" customHeight="1">
      <c r="A26" s="449"/>
      <c r="B26" s="458"/>
      <c r="C26" s="449"/>
      <c r="D26" s="449"/>
      <c r="E26" s="458"/>
    </row>
    <row r="27" spans="1:6">
      <c r="A27" s="450" t="s">
        <v>336</v>
      </c>
    </row>
    <row r="28" spans="1:6">
      <c r="A28" s="459" t="s">
        <v>337</v>
      </c>
      <c r="B28" s="460" t="str">
        <f>UPPER(Captura!R23)</f>
        <v>FORD</v>
      </c>
      <c r="C28" s="461"/>
      <c r="D28" s="462">
        <f>IF(Captura!P67="AXA",Captura!R22,"CANCELADO")</f>
        <v>184100</v>
      </c>
      <c r="E28" s="463"/>
    </row>
    <row r="29" spans="1:6">
      <c r="A29" s="459" t="s">
        <v>338</v>
      </c>
      <c r="B29" s="1029" t="str">
        <f>IF(Captura!P67="AXA",UPPER(Captura!I22),"CANCELADO")</f>
        <v>FIESTA HATCH S T/M</v>
      </c>
      <c r="C29" s="1030"/>
      <c r="D29" s="464" t="s">
        <v>339</v>
      </c>
      <c r="E29" s="465" t="str">
        <f>IF(Captura!P67="AXA",UPPER(Captura!E22),"CANCELADO")</f>
        <v>Y3D</v>
      </c>
    </row>
    <row r="30" spans="1:6">
      <c r="A30" s="459" t="s">
        <v>340</v>
      </c>
      <c r="B30" s="466">
        <f>IF(Captura!P67="AXA",Captura!I23,"CANCELADO")</f>
        <v>2015</v>
      </c>
      <c r="C30" s="461"/>
      <c r="D30" s="467"/>
      <c r="E30" s="463"/>
    </row>
    <row r="31" spans="1:6">
      <c r="A31" s="459" t="s">
        <v>341</v>
      </c>
      <c r="B31" s="466" t="str">
        <f>IF(Captura!P67="AXA",UPPER(Captura!L23),"CANCELADO")</f>
        <v>0</v>
      </c>
      <c r="C31" s="461"/>
      <c r="D31" s="467"/>
      <c r="E31" s="463"/>
    </row>
    <row r="32" spans="1:6">
      <c r="A32" s="459" t="s">
        <v>342</v>
      </c>
      <c r="B32" s="466" t="s">
        <v>308</v>
      </c>
      <c r="C32" s="461"/>
      <c r="D32" s="467"/>
      <c r="E32" s="463"/>
    </row>
    <row r="33" spans="1:6">
      <c r="A33" s="459" t="s">
        <v>343</v>
      </c>
      <c r="B33" s="468"/>
      <c r="C33" s="469"/>
      <c r="D33" s="470"/>
      <c r="E33" s="471"/>
    </row>
    <row r="34" spans="1:6">
      <c r="A34" s="472"/>
      <c r="B34" s="473"/>
      <c r="C34" s="473"/>
    </row>
    <row r="35" spans="1:6" ht="11.25" customHeight="1">
      <c r="A35" s="450" t="s">
        <v>344</v>
      </c>
    </row>
    <row r="36" spans="1:6">
      <c r="A36" s="450"/>
    </row>
    <row r="37" spans="1:6" ht="21">
      <c r="A37" s="1031" t="s">
        <v>345</v>
      </c>
      <c r="B37" s="1032"/>
      <c r="C37" s="474"/>
      <c r="D37" s="474" t="s">
        <v>346</v>
      </c>
      <c r="E37" s="474" t="s">
        <v>347</v>
      </c>
    </row>
    <row r="38" spans="1:6">
      <c r="A38" s="1024" t="s">
        <v>348</v>
      </c>
      <c r="B38" s="1025"/>
      <c r="C38" s="475"/>
      <c r="D38" s="476" t="s">
        <v>349</v>
      </c>
      <c r="E38" s="477">
        <v>0.05</v>
      </c>
    </row>
    <row r="39" spans="1:6">
      <c r="A39" s="1033" t="s">
        <v>350</v>
      </c>
      <c r="B39" s="1034"/>
      <c r="C39" s="478"/>
      <c r="D39" s="476" t="s">
        <v>349</v>
      </c>
      <c r="E39" s="477">
        <v>0.1</v>
      </c>
    </row>
    <row r="40" spans="1:6" ht="12.75" customHeight="1">
      <c r="A40" s="1033" t="s">
        <v>351</v>
      </c>
      <c r="B40" s="1034"/>
      <c r="C40" s="478"/>
      <c r="D40" s="479">
        <f>IF(Captura!K69="auto",1000000,1200000)</f>
        <v>1000000</v>
      </c>
      <c r="E40" s="476" t="s">
        <v>352</v>
      </c>
    </row>
    <row r="41" spans="1:6">
      <c r="A41" s="1033" t="s">
        <v>353</v>
      </c>
      <c r="B41" s="1034"/>
      <c r="C41" s="478"/>
      <c r="D41" s="479">
        <v>3000000</v>
      </c>
      <c r="E41" s="480" t="s">
        <v>352</v>
      </c>
    </row>
    <row r="42" spans="1:6">
      <c r="A42" s="1033" t="s">
        <v>354</v>
      </c>
      <c r="B42" s="1034"/>
      <c r="C42" s="478"/>
      <c r="D42" s="476" t="s">
        <v>355</v>
      </c>
      <c r="E42" s="480" t="s">
        <v>352</v>
      </c>
    </row>
    <row r="43" spans="1:6">
      <c r="A43" s="1033" t="s">
        <v>356</v>
      </c>
      <c r="B43" s="1034"/>
      <c r="C43" s="478"/>
      <c r="D43" s="481" t="str">
        <f>IF(Captura!K69="AUTO","AUTOS 250000","CAM. 150000")</f>
        <v>AUTOS 250000</v>
      </c>
      <c r="E43" s="476" t="s">
        <v>352</v>
      </c>
    </row>
    <row r="44" spans="1:6">
      <c r="A44" s="1033" t="s">
        <v>357</v>
      </c>
      <c r="B44" s="1034"/>
      <c r="C44" s="478"/>
      <c r="D44" s="476" t="s">
        <v>355</v>
      </c>
      <c r="E44" s="1036" t="s">
        <v>352</v>
      </c>
    </row>
    <row r="45" spans="1:6">
      <c r="A45" s="1038" t="s">
        <v>358</v>
      </c>
      <c r="B45" s="1039"/>
      <c r="C45" s="471"/>
      <c r="D45" s="482">
        <v>50000</v>
      </c>
      <c r="E45" s="1037"/>
    </row>
    <row r="46" spans="1:6">
      <c r="C46" s="483" t="str">
        <f>IF(Captura!K65="sí",Captura!AF68,Captura!AF69)</f>
        <v>* Valor Factura Primer año, Valor comercial años subsecuentes</v>
      </c>
    </row>
    <row r="47" spans="1:6" ht="6" customHeight="1">
      <c r="A47" s="454"/>
    </row>
    <row r="48" spans="1:6">
      <c r="A48" s="484" t="s">
        <v>359</v>
      </c>
      <c r="B48" s="485">
        <f>IF(Captura!P67="AXA",IF(Captura!K65="sí",0,Captura!F67),"CANCELADO")</f>
        <v>0</v>
      </c>
      <c r="C48" s="441" t="s">
        <v>360</v>
      </c>
      <c r="D48" s="453" t="str">
        <f>IF(Captura!P67="AXA",Captura!D10&amp;" Integrante: "&amp;TEXT(Captura!G10,"000")&amp;" Distribuidor: "&amp;TEXT(Captura!I20,"000"),"CANCELADO")</f>
        <v>0 Integrante: 000 Distribuidor: 011</v>
      </c>
      <c r="E48" s="441"/>
      <c r="F48" s="453"/>
    </row>
    <row r="49" spans="1:6">
      <c r="A49" s="456" t="s">
        <v>361</v>
      </c>
      <c r="B49" s="485" t="str">
        <f>IF(Captura!P67="AXA",UPPER(IF(Captura!K65="sí","CONTADO",Captura!F65)),"CANCELADO")</f>
        <v>CONTADO</v>
      </c>
      <c r="C49" s="441"/>
      <c r="E49" s="441"/>
      <c r="F49" s="453"/>
    </row>
    <row r="50" spans="1:6">
      <c r="A50" s="456" t="s">
        <v>362</v>
      </c>
      <c r="B50" s="485">
        <f>IF(Captura!P67="AXA",IF(Captura!K65="sí",0,Captura!F69),"CANCELADO")</f>
        <v>0</v>
      </c>
      <c r="C50" s="441" t="s">
        <v>363</v>
      </c>
      <c r="D50" s="486">
        <f>IF(Captura!P67="AXA",Captura!K67,"CANCELADO")</f>
        <v>41963</v>
      </c>
      <c r="E50" s="487" t="s">
        <v>364</v>
      </c>
      <c r="F50" s="486">
        <f>IF(Captura!P67="AXA",IF(Captura!K65="SÍ",Captura!AG3,Captura!AG2),"CANCELADO")</f>
        <v>42328</v>
      </c>
    </row>
    <row r="51" spans="1:6" ht="9.75" customHeight="1">
      <c r="A51" s="456"/>
    </row>
    <row r="52" spans="1:6" ht="22.5" customHeight="1">
      <c r="B52" s="1040" t="s">
        <v>365</v>
      </c>
      <c r="C52" s="1040"/>
    </row>
    <row r="53" spans="1:6" ht="10.5" customHeight="1">
      <c r="A53" s="450"/>
      <c r="C53" s="450"/>
    </row>
    <row r="54" spans="1:6" ht="11.25" customHeight="1">
      <c r="A54" s="450"/>
      <c r="B54" s="1035" t="s">
        <v>366</v>
      </c>
      <c r="C54" s="1035"/>
      <c r="D54" s="450"/>
    </row>
    <row r="55" spans="1:6">
      <c r="B55" s="1035" t="s">
        <v>367</v>
      </c>
      <c r="C55" s="1035"/>
    </row>
    <row r="56" spans="1:6">
      <c r="B56" s="1035" t="s">
        <v>368</v>
      </c>
      <c r="C56" s="1035"/>
    </row>
    <row r="57" spans="1:6" ht="6.75" customHeight="1">
      <c r="A57" s="450"/>
      <c r="B57" s="488"/>
      <c r="C57" s="489"/>
    </row>
    <row r="58" spans="1:6">
      <c r="B58" s="1035" t="s">
        <v>369</v>
      </c>
      <c r="C58" s="1035"/>
    </row>
    <row r="59" spans="1:6" ht="10.5" customHeight="1">
      <c r="A59" s="450" t="s">
        <v>128</v>
      </c>
      <c r="B59" s="1035" t="s">
        <v>370</v>
      </c>
      <c r="C59" s="1035"/>
      <c r="E59" s="490" t="s">
        <v>371</v>
      </c>
    </row>
    <row r="60" spans="1:6" ht="6.75" customHeight="1">
      <c r="C60" s="451"/>
    </row>
    <row r="61" spans="1:6">
      <c r="B61" s="1035" t="s">
        <v>372</v>
      </c>
      <c r="C61" s="1035"/>
    </row>
    <row r="62" spans="1:6">
      <c r="B62" s="1035" t="s">
        <v>373</v>
      </c>
      <c r="C62" s="1035"/>
    </row>
    <row r="63" spans="1:6"/>
    <row r="64" spans="1:6"/>
  </sheetData>
  <sheetProtection password="F4F5" sheet="1" objects="1" scenarios="1" selectLockedCells="1" selectUnlockedCells="1"/>
  <mergeCells count="22">
    <mergeCell ref="B59:C59"/>
    <mergeCell ref="B61:C61"/>
    <mergeCell ref="B62:C62"/>
    <mergeCell ref="E44:E45"/>
    <mergeCell ref="A45:B45"/>
    <mergeCell ref="B52:C52"/>
    <mergeCell ref="B54:C54"/>
    <mergeCell ref="B55:C55"/>
    <mergeCell ref="B56:C56"/>
    <mergeCell ref="A44:B44"/>
    <mergeCell ref="A39:B39"/>
    <mergeCell ref="A40:B40"/>
    <mergeCell ref="A41:B41"/>
    <mergeCell ref="A42:B42"/>
    <mergeCell ref="A43:B43"/>
    <mergeCell ref="B58:C58"/>
    <mergeCell ref="A38:B38"/>
    <mergeCell ref="A12:B12"/>
    <mergeCell ref="D12:E12"/>
    <mergeCell ref="A13:E15"/>
    <mergeCell ref="B29:C29"/>
    <mergeCell ref="A37:B37"/>
  </mergeCells>
  <printOptions horizontalCentered="1" verticalCentered="1"/>
  <pageMargins left="0.78740157480314965" right="0.39370078740157483" top="0.98425196850393704" bottom="0.98425196850393704" header="0" footer="0"/>
  <pageSetup scale="78"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sheetPr>
    <tabColor theme="7" tint="-0.249977111117893"/>
    <pageSetUpPr fitToPage="1"/>
  </sheetPr>
  <dimension ref="A1:F73"/>
  <sheetViews>
    <sheetView zoomScaleNormal="100" workbookViewId="0">
      <selection activeCell="IV10" sqref="IV1:IV65536"/>
    </sheetView>
  </sheetViews>
  <sheetFormatPr baseColWidth="10" defaultColWidth="0" defaultRowHeight="12.75" customHeight="1" zeroHeight="1"/>
  <cols>
    <col min="1" max="1" width="36.6640625" style="440" customWidth="1"/>
    <col min="2" max="2" width="33.6640625" style="440" customWidth="1"/>
    <col min="3" max="4" width="16.83203125" style="440" customWidth="1"/>
    <col min="5" max="5" width="13.1640625" style="440" customWidth="1"/>
    <col min="6" max="6" width="2.5" style="440" customWidth="1"/>
    <col min="7" max="16384" width="0" style="440" hidden="1"/>
  </cols>
  <sheetData>
    <row r="1" spans="1:5"/>
    <row r="2" spans="1:5"/>
    <row r="3" spans="1:5"/>
    <row r="4" spans="1:5" ht="25.5">
      <c r="D4" s="441" t="s">
        <v>309</v>
      </c>
      <c r="E4" s="442" t="str">
        <f>IF(Captura!P67="Quálitas",Captura!K67,"CANCELADO")</f>
        <v>CANCELADO</v>
      </c>
    </row>
    <row r="5" spans="1:5">
      <c r="D5" s="441" t="s">
        <v>310</v>
      </c>
      <c r="E5" s="443"/>
    </row>
    <row r="6" spans="1:5" ht="3.75" customHeight="1">
      <c r="E6" s="444"/>
    </row>
    <row r="7" spans="1:5" ht="3" customHeight="1"/>
    <row r="8" spans="1:5" ht="20.25" customHeight="1">
      <c r="B8" s="446" t="s">
        <v>374</v>
      </c>
      <c r="C8" s="446"/>
    </row>
    <row r="9" spans="1:5" ht="13.5" customHeight="1">
      <c r="B9" s="491" t="s">
        <v>375</v>
      </c>
      <c r="C9" s="447"/>
    </row>
    <row r="10" spans="1:5" ht="3" customHeight="1">
      <c r="B10" s="447"/>
      <c r="C10" s="447"/>
    </row>
    <row r="11" spans="1:5" ht="2.25" customHeight="1">
      <c r="B11" s="447"/>
      <c r="C11" s="447"/>
    </row>
    <row r="12" spans="1:5" ht="2.25" customHeight="1">
      <c r="B12" s="447"/>
      <c r="C12" s="447"/>
    </row>
    <row r="13" spans="1:5" ht="13.5" customHeight="1">
      <c r="A13" s="492" t="s">
        <v>376</v>
      </c>
      <c r="B13" s="492" t="str">
        <f>IF(Captura!P67="Quálitas",Captura!D10&amp;"-"&amp;TEXT(Captura!G10,"000"),"CANCELADO")</f>
        <v>CANCELADO</v>
      </c>
      <c r="C13" s="448"/>
    </row>
    <row r="14" spans="1:5" ht="13.5" customHeight="1">
      <c r="A14" s="492" t="s">
        <v>377</v>
      </c>
      <c r="B14" s="493" t="str">
        <f>IF(Captura!P67="Quálitas",UPPER("CONAUTO Y/O "&amp;IF(Captura!L10="física",Captura!E12&amp;" "&amp;Captura!E13&amp;" "&amp;Captura!N13,Captura!E12)),"CANCELADO")</f>
        <v>CANCELADO</v>
      </c>
      <c r="C14" s="449"/>
    </row>
    <row r="15" spans="1:5" ht="13.5" customHeight="1">
      <c r="A15" s="492" t="s">
        <v>378</v>
      </c>
      <c r="B15" s="494" t="str">
        <f>IF(Captura!P67="Quálitas",Captura!K67,"CANCELADO")</f>
        <v>CANCELADO</v>
      </c>
      <c r="C15" s="449"/>
    </row>
    <row r="16" spans="1:5" ht="13.5" customHeight="1">
      <c r="A16" s="492" t="s">
        <v>379</v>
      </c>
      <c r="B16" s="494" t="str">
        <f>IF(Captura!P67="Quálitas",IF(Captura!K65="SÍ",Captura!AG3,Captura!AG2),"CANCELADO")</f>
        <v>CANCELADO</v>
      </c>
      <c r="C16" s="495"/>
    </row>
    <row r="17" spans="1:6" ht="3.75" customHeight="1">
      <c r="B17" s="449"/>
      <c r="C17" s="449"/>
    </row>
    <row r="18" spans="1:6" ht="2.25" customHeight="1">
      <c r="A18" s="496"/>
      <c r="C18" s="451"/>
      <c r="D18" s="452"/>
      <c r="E18" s="453"/>
      <c r="F18" s="452"/>
    </row>
    <row r="19" spans="1:6" ht="15.75" customHeight="1">
      <c r="A19" s="1041" t="s">
        <v>380</v>
      </c>
      <c r="B19" s="1041"/>
      <c r="C19" s="1041"/>
      <c r="D19" s="1041"/>
      <c r="E19" s="1041"/>
      <c r="F19" s="497"/>
    </row>
    <row r="20" spans="1:6">
      <c r="A20" s="498" t="s">
        <v>381</v>
      </c>
      <c r="D20" s="449" t="s">
        <v>382</v>
      </c>
      <c r="E20" s="455"/>
    </row>
    <row r="21" spans="1:6">
      <c r="A21" s="1042" t="s">
        <v>383</v>
      </c>
      <c r="B21" s="1042"/>
      <c r="C21" s="1042"/>
      <c r="D21" s="1042"/>
      <c r="E21" s="1042"/>
    </row>
    <row r="22" spans="1:6">
      <c r="A22" s="1042"/>
      <c r="B22" s="1042"/>
      <c r="C22" s="1042"/>
      <c r="D22" s="1042"/>
      <c r="E22" s="1042"/>
    </row>
    <row r="23" spans="1:6">
      <c r="A23" s="1042"/>
      <c r="B23" s="1042"/>
      <c r="C23" s="1042"/>
      <c r="D23" s="1042"/>
      <c r="E23" s="1042"/>
    </row>
    <row r="24" spans="1:6" ht="4.5" customHeight="1">
      <c r="A24" s="498"/>
      <c r="C24" s="455"/>
    </row>
    <row r="25" spans="1:6" ht="4.5" customHeight="1">
      <c r="A25" s="450"/>
    </row>
    <row r="26" spans="1:6" ht="14.25" customHeight="1" thickBot="1">
      <c r="A26" s="499" t="s">
        <v>384</v>
      </c>
    </row>
    <row r="27" spans="1:6" ht="13.5" thickBot="1">
      <c r="A27" s="500" t="s">
        <v>385</v>
      </c>
      <c r="B27" s="501" t="str">
        <f>IF(Captura!P67="Quálitas",UPPER(Captura!R23),"CANCELADO")</f>
        <v>CANCELADO</v>
      </c>
      <c r="C27" s="502" t="s">
        <v>386</v>
      </c>
      <c r="D27" s="503" t="str">
        <f>IF(Captura!P67="Quálitas",UPPER(Captura!E22),"CANCELADO")</f>
        <v>CANCELADO</v>
      </c>
      <c r="E27" s="504"/>
    </row>
    <row r="28" spans="1:6" ht="13.5" thickBot="1">
      <c r="A28" s="505" t="s">
        <v>387</v>
      </c>
      <c r="B28" s="506" t="str">
        <f>IF(Captura!P67="Quálitas",Captura!R22,"CANCELADO")</f>
        <v>CANCELADO</v>
      </c>
      <c r="C28" s="503"/>
      <c r="D28" s="503"/>
      <c r="E28" s="504"/>
    </row>
    <row r="29" spans="1:6" ht="13.5" thickBot="1">
      <c r="A29" s="505" t="s">
        <v>388</v>
      </c>
      <c r="B29" s="507" t="str">
        <f>IF(Captura!P67="Quálitas",UPPER(Captura!I22),"CANCELADO")</f>
        <v>CANCELADO</v>
      </c>
      <c r="C29" s="508"/>
      <c r="D29" s="508"/>
      <c r="E29" s="504"/>
    </row>
    <row r="30" spans="1:6" ht="13.5" thickBot="1">
      <c r="A30" s="505" t="s">
        <v>389</v>
      </c>
      <c r="B30" s="509" t="str">
        <f>IF(Captura!P67="Quálitas",Captura!I23,"CANCELADO")</f>
        <v>CANCELADO</v>
      </c>
      <c r="C30" s="503"/>
      <c r="D30" s="503"/>
      <c r="E30" s="504"/>
    </row>
    <row r="31" spans="1:6" ht="13.5" thickBot="1">
      <c r="A31" s="505" t="s">
        <v>390</v>
      </c>
      <c r="B31" s="509" t="str">
        <f>IF(Captura!P67="Quálitas",UPPER(Captura!L23),"CANCELADO")</f>
        <v>CANCELADO</v>
      </c>
      <c r="C31" s="503"/>
      <c r="D31" s="503"/>
      <c r="E31" s="504"/>
    </row>
    <row r="32" spans="1:6" ht="4.5" customHeight="1">
      <c r="A32" s="450"/>
      <c r="B32" s="510"/>
    </row>
    <row r="33" spans="1:5" ht="15.75">
      <c r="A33" s="511" t="s">
        <v>391</v>
      </c>
      <c r="B33" s="511" t="s">
        <v>392</v>
      </c>
      <c r="E33" s="492" t="s">
        <v>393</v>
      </c>
    </row>
    <row r="34" spans="1:5">
      <c r="A34" s="512" t="s">
        <v>394</v>
      </c>
      <c r="B34" s="513" t="s">
        <v>72</v>
      </c>
      <c r="E34" s="514">
        <v>0.05</v>
      </c>
    </row>
    <row r="35" spans="1:5">
      <c r="A35" s="512" t="s">
        <v>395</v>
      </c>
      <c r="B35" s="513" t="s">
        <v>355</v>
      </c>
      <c r="E35" s="514">
        <v>0.2</v>
      </c>
    </row>
    <row r="36" spans="1:5">
      <c r="A36" s="512" t="s">
        <v>396</v>
      </c>
      <c r="B36" s="513" t="s">
        <v>72</v>
      </c>
      <c r="E36" s="514">
        <v>0.1</v>
      </c>
    </row>
    <row r="37" spans="1:5">
      <c r="A37" s="512" t="s">
        <v>397</v>
      </c>
      <c r="B37" s="515" t="str">
        <f>IF(Captura!P67="Quálitas",IF(Captura!K69="AUTO",1000000,1200000),"CANCELADO")</f>
        <v>CANCELADO</v>
      </c>
      <c r="E37" s="516" t="s">
        <v>398</v>
      </c>
    </row>
    <row r="38" spans="1:5">
      <c r="A38" s="517" t="s">
        <v>399</v>
      </c>
      <c r="B38" s="518">
        <v>3000000</v>
      </c>
      <c r="C38" s="519"/>
      <c r="D38" s="519"/>
      <c r="E38" s="520" t="s">
        <v>398</v>
      </c>
    </row>
    <row r="39" spans="1:5">
      <c r="A39" s="512" t="s">
        <v>400</v>
      </c>
      <c r="B39" s="515" t="str">
        <f>IF(Captura!P67="Quálitas",IF(Captura!K69="AUTO",1000000,1200000),"CANCELADO")</f>
        <v>CANCELADO</v>
      </c>
      <c r="E39" s="516" t="s">
        <v>398</v>
      </c>
    </row>
    <row r="40" spans="1:5">
      <c r="A40" s="512" t="s">
        <v>401</v>
      </c>
      <c r="B40" s="513" t="str">
        <f>IF(Captura!K69="AUTO","AUTOS 250000",150000)</f>
        <v>AUTOS 250000</v>
      </c>
      <c r="E40" s="516" t="s">
        <v>398</v>
      </c>
    </row>
    <row r="41" spans="1:5">
      <c r="A41" s="512" t="s">
        <v>402</v>
      </c>
      <c r="B41" s="513" t="s">
        <v>355</v>
      </c>
      <c r="E41" s="516" t="s">
        <v>398</v>
      </c>
    </row>
    <row r="42" spans="1:5">
      <c r="A42" s="512" t="s">
        <v>403</v>
      </c>
      <c r="B42" s="513" t="s">
        <v>355</v>
      </c>
      <c r="E42" s="516" t="s">
        <v>398</v>
      </c>
    </row>
    <row r="43" spans="1:5">
      <c r="A43" s="498" t="s">
        <v>404</v>
      </c>
      <c r="B43" s="515">
        <v>50000</v>
      </c>
      <c r="E43" s="516" t="s">
        <v>398</v>
      </c>
    </row>
    <row r="44" spans="1:5">
      <c r="A44" s="498" t="str">
        <f>IF(Captura!K69="AUTO",Captura!AC74,Captura!AC75)</f>
        <v>Responsabilidad Civil en el Extranjero</v>
      </c>
      <c r="B44" s="515" t="str">
        <f>IF(Captura!P67="Quálitas",IF(Captura!K69="AUTO",1200000,"Amparado"),"CANCELADO")</f>
        <v>CANCELADO</v>
      </c>
      <c r="C44" s="445"/>
      <c r="D44" s="445"/>
      <c r="E44" s="516" t="s">
        <v>398</v>
      </c>
    </row>
    <row r="45" spans="1:5" ht="8.25" customHeight="1">
      <c r="A45" s="472"/>
      <c r="B45" s="512"/>
      <c r="C45" s="498"/>
    </row>
    <row r="46" spans="1:5">
      <c r="A46" s="1043" t="str">
        <f>IF(Captura!P67="Quálitas",IF(Captura!K65="sí",Captura!AF73,Captura!AF74),"CANCELADO")</f>
        <v>CANCELADO</v>
      </c>
      <c r="B46" s="1043"/>
      <c r="C46" s="1043"/>
      <c r="D46" s="1043"/>
      <c r="E46" s="1043"/>
    </row>
    <row r="47" spans="1:5" ht="9.75" customHeight="1">
      <c r="A47" s="1043"/>
      <c r="B47" s="1043"/>
      <c r="C47" s="1043"/>
      <c r="D47" s="1043"/>
      <c r="E47" s="1043"/>
    </row>
    <row r="48" spans="1:5" ht="9" customHeight="1">
      <c r="A48" s="472"/>
      <c r="B48" s="512"/>
      <c r="C48" s="498"/>
    </row>
    <row r="49" spans="1:6">
      <c r="A49" s="1044" t="s">
        <v>405</v>
      </c>
      <c r="B49" s="1044"/>
      <c r="C49" s="1044"/>
      <c r="D49" s="1044"/>
      <c r="E49" s="1044"/>
    </row>
    <row r="50" spans="1:6">
      <c r="A50" s="1044"/>
      <c r="B50" s="1044"/>
      <c r="C50" s="1044"/>
      <c r="D50" s="1044"/>
      <c r="E50" s="1044"/>
    </row>
    <row r="51" spans="1:6">
      <c r="A51" s="1044"/>
      <c r="B51" s="1044"/>
      <c r="C51" s="1044"/>
      <c r="D51" s="1044"/>
      <c r="E51" s="1044"/>
    </row>
    <row r="52" spans="1:6">
      <c r="A52" s="472"/>
      <c r="B52" s="512"/>
      <c r="C52" s="498"/>
    </row>
    <row r="53" spans="1:6" ht="14.25">
      <c r="A53" s="521" t="s">
        <v>406</v>
      </c>
      <c r="B53" s="522"/>
      <c r="C53" s="523"/>
      <c r="D53" s="524"/>
      <c r="E53" s="475"/>
      <c r="F53" s="525"/>
    </row>
    <row r="54" spans="1:6" ht="14.25">
      <c r="A54" s="526"/>
      <c r="B54" s="527" t="s">
        <v>407</v>
      </c>
      <c r="C54" s="525"/>
      <c r="D54" s="528"/>
      <c r="E54" s="478"/>
      <c r="F54" s="525"/>
    </row>
    <row r="55" spans="1:6" ht="14.25">
      <c r="A55" s="529"/>
      <c r="B55" s="530" t="s">
        <v>408</v>
      </c>
      <c r="C55" s="470"/>
      <c r="D55" s="531"/>
      <c r="E55" s="471"/>
      <c r="F55" s="525"/>
    </row>
    <row r="56" spans="1:6" ht="6" customHeight="1">
      <c r="A56" s="532"/>
      <c r="B56" s="512"/>
      <c r="C56" s="498"/>
    </row>
    <row r="57" spans="1:6" ht="15">
      <c r="A57" s="498" t="s">
        <v>409</v>
      </c>
      <c r="B57" s="512"/>
      <c r="C57" s="533" t="s">
        <v>410</v>
      </c>
    </row>
    <row r="58" spans="1:6" ht="15">
      <c r="A58" s="532"/>
      <c r="B58" s="512"/>
      <c r="C58" s="533" t="s">
        <v>411</v>
      </c>
    </row>
    <row r="59" spans="1:6" ht="15">
      <c r="A59" s="498" t="s">
        <v>412</v>
      </c>
      <c r="B59" s="512"/>
      <c r="C59" s="533" t="s">
        <v>413</v>
      </c>
    </row>
    <row r="60" spans="1:6" ht="15">
      <c r="A60" s="532"/>
      <c r="B60" s="512"/>
      <c r="C60" s="533" t="s">
        <v>414</v>
      </c>
    </row>
    <row r="61" spans="1:6" ht="3" customHeight="1">
      <c r="A61" s="472"/>
      <c r="B61" s="512"/>
      <c r="C61" s="498"/>
    </row>
    <row r="62" spans="1:6" ht="6.75" customHeight="1">
      <c r="A62" s="534"/>
      <c r="B62" s="512"/>
      <c r="C62" s="498"/>
    </row>
    <row r="63" spans="1:6" ht="14.25" customHeight="1">
      <c r="A63" s="517" t="s">
        <v>415</v>
      </c>
      <c r="B63" s="512"/>
      <c r="C63" s="498"/>
    </row>
    <row r="64" spans="1:6">
      <c r="A64" s="534"/>
      <c r="B64" s="512"/>
      <c r="C64" s="498"/>
    </row>
    <row r="65" spans="1:3">
      <c r="A65" s="519"/>
      <c r="B65" s="512"/>
      <c r="C65" s="498"/>
    </row>
    <row r="66" spans="1:3">
      <c r="A66" s="519"/>
      <c r="B66" s="512"/>
      <c r="C66" s="498"/>
    </row>
    <row r="67" spans="1:3">
      <c r="A67" s="535"/>
      <c r="B67" s="512"/>
      <c r="C67" s="498"/>
    </row>
    <row r="68" spans="1:3">
      <c r="A68" s="535"/>
    </row>
    <row r="69" spans="1:3">
      <c r="A69" s="536"/>
    </row>
    <row r="70" spans="1:3" ht="18" customHeight="1">
      <c r="A70" s="537" t="s">
        <v>416</v>
      </c>
    </row>
    <row r="71" spans="1:3">
      <c r="A71" s="519" t="s">
        <v>417</v>
      </c>
    </row>
    <row r="72" spans="1:3">
      <c r="A72" s="519" t="s">
        <v>110</v>
      </c>
    </row>
    <row r="73" spans="1:3">
      <c r="A73" s="519"/>
    </row>
  </sheetData>
  <sheetProtection password="F4F5" sheet="1" objects="1" scenarios="1" selectLockedCells="1" selectUnlockedCells="1"/>
  <mergeCells count="4">
    <mergeCell ref="A19:E19"/>
    <mergeCell ref="A21:E23"/>
    <mergeCell ref="A46:E47"/>
    <mergeCell ref="A49:E51"/>
  </mergeCells>
  <printOptions horizontalCentered="1" verticalCentered="1"/>
  <pageMargins left="0.78740157480314965" right="0.39370078740157483" top="0.98425196850393704" bottom="0.98425196850393704" header="0" footer="0"/>
  <pageSetup scale="75"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sheetPr>
    <tabColor rgb="FFFD8603"/>
    <pageSetUpPr fitToPage="1"/>
  </sheetPr>
  <dimension ref="A1:AD74"/>
  <sheetViews>
    <sheetView topLeftCell="D1" workbookViewId="0">
      <selection activeCell="Q24" sqref="Q24"/>
    </sheetView>
  </sheetViews>
  <sheetFormatPr baseColWidth="10" defaultColWidth="0" defaultRowHeight="15" customHeight="1" zeroHeight="1"/>
  <cols>
    <col min="1" max="1" width="2.1640625" style="538" customWidth="1"/>
    <col min="2" max="2" width="6.1640625" style="538" customWidth="1"/>
    <col min="3" max="3" width="7.1640625" style="538" customWidth="1"/>
    <col min="4" max="4" width="6.5" style="538" customWidth="1"/>
    <col min="5" max="5" width="6" style="538" customWidth="1"/>
    <col min="6" max="6" width="7.1640625" style="538" customWidth="1"/>
    <col min="7" max="7" width="7.5" style="538" customWidth="1"/>
    <col min="8" max="8" width="13.33203125" style="538" customWidth="1"/>
    <col min="9" max="9" width="14.83203125" style="538" bestFit="1" customWidth="1"/>
    <col min="10" max="10" width="13.33203125" style="538" customWidth="1"/>
    <col min="11" max="11" width="5.5" style="538" customWidth="1"/>
    <col min="12" max="12" width="4.5" style="538" customWidth="1"/>
    <col min="13" max="13" width="5.1640625" style="538" customWidth="1"/>
    <col min="14" max="14" width="10.6640625" style="538" customWidth="1"/>
    <col min="15" max="16" width="5.1640625" style="538" customWidth="1"/>
    <col min="17" max="17" width="8" style="538" customWidth="1"/>
    <col min="18" max="18" width="2.1640625" style="538" customWidth="1"/>
    <col min="19" max="16384" width="0" style="538" hidden="1"/>
  </cols>
  <sheetData>
    <row r="1" spans="2:17"/>
    <row r="2" spans="2:17"/>
    <row r="3" spans="2:17">
      <c r="M3" s="539" t="s">
        <v>418</v>
      </c>
      <c r="N3" s="539"/>
    </row>
    <row r="4" spans="2:17">
      <c r="H4" s="540" t="s">
        <v>419</v>
      </c>
      <c r="I4" s="1045" t="s">
        <v>420</v>
      </c>
      <c r="J4" s="1047"/>
      <c r="K4" s="541"/>
      <c r="L4" s="1045" t="s">
        <v>421</v>
      </c>
      <c r="M4" s="1047"/>
      <c r="N4" s="1047"/>
      <c r="O4" s="1047"/>
      <c r="P4" s="1047"/>
      <c r="Q4" s="1046"/>
    </row>
    <row r="5" spans="2:17" ht="18.75" customHeight="1">
      <c r="H5" s="542"/>
      <c r="I5" s="543" t="s">
        <v>422</v>
      </c>
      <c r="J5" s="544">
        <v>18860516</v>
      </c>
      <c r="K5" s="545"/>
      <c r="L5" s="1048"/>
      <c r="M5" s="1049"/>
      <c r="N5" s="1049"/>
      <c r="O5" s="1049"/>
      <c r="P5" s="1049"/>
      <c r="Q5" s="1050"/>
    </row>
    <row r="6" spans="2:17">
      <c r="B6" s="546" t="s">
        <v>423</v>
      </c>
      <c r="C6" s="547"/>
      <c r="D6" s="547"/>
      <c r="E6" s="547"/>
      <c r="F6" s="547"/>
      <c r="G6" s="547"/>
      <c r="H6" s="547"/>
      <c r="I6" s="548"/>
      <c r="J6" s="546"/>
      <c r="K6" s="547"/>
      <c r="L6" s="541" t="s">
        <v>424</v>
      </c>
      <c r="M6" s="541"/>
      <c r="N6" s="541"/>
      <c r="O6" s="541"/>
      <c r="P6" s="541"/>
      <c r="Q6" s="548"/>
    </row>
    <row r="7" spans="2:17">
      <c r="B7" s="1051" t="str">
        <f>IF(Captura!P67="GNP",UPPER("CONAUTO, S.A. DE C.V. Y/O "&amp;IF(Captura!L10="física",Captura!E12&amp;" "&amp;Captura!E13&amp;" "&amp;Captura!N13,Captura!E12)),"CANCELADO")</f>
        <v>CANCELADO</v>
      </c>
      <c r="C7" s="1052"/>
      <c r="D7" s="1052"/>
      <c r="E7" s="1052"/>
      <c r="F7" s="1052"/>
      <c r="G7" s="1052"/>
      <c r="H7" s="1052"/>
      <c r="I7" s="1053"/>
      <c r="J7" s="549" t="s">
        <v>425</v>
      </c>
      <c r="K7" s="550"/>
      <c r="L7" s="550"/>
      <c r="M7" s="550"/>
      <c r="N7" s="550"/>
      <c r="O7" s="550"/>
      <c r="P7" s="550"/>
      <c r="Q7" s="551"/>
    </row>
    <row r="8" spans="2:17">
      <c r="B8" s="1054" t="str">
        <f>IF(Captura!P67="GNP",UPPER(IF(Captura!K65="SÍ","MARIANO ESCOBEDO # 498 PISO 8 COL ANZURES MEXICO D.F.C.P 11590",Captura!E17&amp;", "&amp;Captura!O17&amp;", "&amp;Captura!E18&amp;", "&amp;Captura!M18&amp;" "&amp;Captura!S18)),"CANCELADO")</f>
        <v>CANCELADO</v>
      </c>
      <c r="C8" s="1055"/>
      <c r="D8" s="1055"/>
      <c r="E8" s="1055"/>
      <c r="F8" s="1055"/>
      <c r="G8" s="1055"/>
      <c r="H8" s="1055"/>
      <c r="I8" s="1056"/>
      <c r="J8" s="552" t="s">
        <v>426</v>
      </c>
      <c r="K8" s="553"/>
      <c r="L8" s="553"/>
      <c r="M8" s="553"/>
      <c r="N8" s="553"/>
      <c r="O8" s="553"/>
      <c r="P8" s="553"/>
      <c r="Q8" s="554"/>
    </row>
    <row r="9" spans="2:17">
      <c r="B9" s="1054"/>
      <c r="C9" s="1055"/>
      <c r="D9" s="1055"/>
      <c r="E9" s="1055"/>
      <c r="F9" s="1055"/>
      <c r="G9" s="1055"/>
      <c r="H9" s="1055"/>
      <c r="I9" s="1056"/>
      <c r="J9" s="552" t="s">
        <v>427</v>
      </c>
      <c r="K9" s="553"/>
      <c r="L9" s="553"/>
      <c r="M9" s="553"/>
      <c r="N9" s="553"/>
      <c r="O9" s="553"/>
      <c r="P9" s="553"/>
      <c r="Q9" s="554"/>
    </row>
    <row r="10" spans="2:17">
      <c r="B10" s="555" t="str">
        <f>IF(Captura!P67="GNP",IF(Captura!K65="SÍ","TEL.: 52-28-70-00","TEL.: "),"CANCELADO")</f>
        <v>CANCELADO</v>
      </c>
      <c r="C10" s="556"/>
      <c r="D10" s="557"/>
      <c r="E10" s="558" t="str">
        <f>IF(Captura!P67="GNP",IF(Captura!K65="SÍ","R.F.C. CON890518P51","R.F.C. "),"CANCELADO")</f>
        <v>CANCELADO</v>
      </c>
      <c r="F10" s="557"/>
      <c r="G10" s="559"/>
      <c r="H10" s="559"/>
      <c r="I10" s="560"/>
      <c r="J10" s="561"/>
      <c r="K10" s="562"/>
      <c r="L10" s="563"/>
      <c r="M10" s="563"/>
      <c r="N10" s="563"/>
      <c r="O10" s="563"/>
      <c r="P10" s="563" t="s">
        <v>428</v>
      </c>
      <c r="Q10" s="564"/>
    </row>
    <row r="11" spans="2:17" s="568" customFormat="1" ht="15.75" customHeight="1">
      <c r="B11" s="565" t="s">
        <v>429</v>
      </c>
      <c r="C11" s="546"/>
      <c r="D11" s="566" t="s">
        <v>430</v>
      </c>
      <c r="E11" s="547"/>
      <c r="F11" s="548"/>
      <c r="G11" s="1045" t="s">
        <v>431</v>
      </c>
      <c r="H11" s="1046"/>
      <c r="I11" s="540" t="s">
        <v>432</v>
      </c>
      <c r="J11" s="540" t="s">
        <v>433</v>
      </c>
      <c r="K11" s="567" t="s">
        <v>434</v>
      </c>
      <c r="L11" s="567" t="s">
        <v>435</v>
      </c>
      <c r="M11" s="567" t="s">
        <v>436</v>
      </c>
      <c r="N11" s="540" t="s">
        <v>27</v>
      </c>
      <c r="O11" s="567" t="s">
        <v>434</v>
      </c>
      <c r="P11" s="567" t="s">
        <v>435</v>
      </c>
      <c r="Q11" s="567" t="s">
        <v>436</v>
      </c>
    </row>
    <row r="12" spans="2:17" ht="19.5" customHeight="1">
      <c r="B12" s="569"/>
      <c r="C12" s="570"/>
      <c r="D12" s="571" t="str">
        <f>IF(Captura!P67="GNP",DAY(Captura!K67),"XX")</f>
        <v>XX</v>
      </c>
      <c r="E12" s="572" t="str">
        <f>IF(Captura!P67="GNP",MONTH(Captura!K67),"XX")</f>
        <v>XX</v>
      </c>
      <c r="F12" s="573" t="str">
        <f>IF(Captura!P67="GNP",YEAR(Captura!K67),"XXXX")</f>
        <v>XXXX</v>
      </c>
      <c r="G12" s="570"/>
      <c r="H12" s="574"/>
      <c r="I12" s="545">
        <v>43778</v>
      </c>
      <c r="J12" s="575" t="str">
        <f>IF(Captura!P67="GNP",(IF(Captura!K65="SÍ","12 MESES",Captura!F66&amp;" MESES")),"CANCELADO")</f>
        <v>CANCELADO</v>
      </c>
      <c r="K12" s="576" t="str">
        <f>IF(Captura!P67="GNP",DAY(Captura!K67),"XX")</f>
        <v>XX</v>
      </c>
      <c r="L12" s="576" t="str">
        <f>IF(Captura!P67="GNP",MONTH(Captura!K67),"XX")</f>
        <v>XX</v>
      </c>
      <c r="M12" s="576" t="str">
        <f>IF(Captura!P67="GNP",YEAR(Captura!K67),"XXXX")</f>
        <v>XXXX</v>
      </c>
      <c r="N12" s="569"/>
      <c r="O12" s="576" t="str">
        <f>IF(Captura!P67="GNP",DAY(IF(Captura!K65="SÍ",Captura!AG3,Captura!AG2)),"XX")</f>
        <v>XX</v>
      </c>
      <c r="P12" s="576" t="str">
        <f>IF(Captura!P67="GNP",MONTH(IF(Captura!K65="SÍ",Captura!AG3,Captura!AG2)),"XX")</f>
        <v>XX</v>
      </c>
      <c r="Q12" s="576" t="str">
        <f>IF(Captura!P67="GNP",YEAR(IF(Captura!K65="SÍ",Captura!AG3,Captura!AG2)),"XXXX")</f>
        <v>XXXX</v>
      </c>
    </row>
    <row r="13" spans="2:17" s="568" customFormat="1" ht="12.75">
      <c r="H13" s="577" t="s">
        <v>437</v>
      </c>
    </row>
    <row r="14" spans="2:17" s="568" customFormat="1" ht="12.75">
      <c r="B14" s="546" t="s">
        <v>438</v>
      </c>
      <c r="C14" s="548"/>
      <c r="D14" s="546" t="s">
        <v>439</v>
      </c>
      <c r="E14" s="548"/>
      <c r="F14" s="546" t="s">
        <v>440</v>
      </c>
      <c r="G14" s="547"/>
      <c r="H14" s="547"/>
      <c r="I14" s="547"/>
      <c r="J14" s="547"/>
      <c r="K14" s="547"/>
      <c r="L14" s="547"/>
      <c r="M14" s="548"/>
      <c r="N14" s="540" t="s">
        <v>259</v>
      </c>
      <c r="O14" s="546" t="s">
        <v>441</v>
      </c>
      <c r="P14" s="547"/>
      <c r="Q14" s="548"/>
    </row>
    <row r="15" spans="2:17" ht="20.25" customHeight="1">
      <c r="B15" s="1057">
        <v>1</v>
      </c>
      <c r="C15" s="1058"/>
      <c r="D15" s="1057"/>
      <c r="E15" s="1058"/>
      <c r="F15" s="1057" t="str">
        <f>IF(Captura!P67="GNP",UPPER(Captura!I22&amp;" ("&amp;Captura!E22&amp;")"),"CANCELADO")</f>
        <v>CANCELADO</v>
      </c>
      <c r="G15" s="1059"/>
      <c r="H15" s="1059"/>
      <c r="I15" s="1059"/>
      <c r="J15" s="1059"/>
      <c r="K15" s="1059"/>
      <c r="L15" s="1059"/>
      <c r="M15" s="1058"/>
      <c r="N15" s="575" t="str">
        <f>IF(Captura!P67="GNP",Captura!I23,"CANCELADO")</f>
        <v>CANCELADO</v>
      </c>
      <c r="O15" s="1057" t="str">
        <f>IF(Captura!P67="GNP",IF(Captura!K69="AUTO",5,3),"CANCELADO")</f>
        <v>CANCELADO</v>
      </c>
      <c r="P15" s="1059"/>
      <c r="Q15" s="1058"/>
    </row>
    <row r="16" spans="2:17">
      <c r="B16" s="546" t="s">
        <v>442</v>
      </c>
      <c r="C16" s="547"/>
      <c r="D16" s="547"/>
      <c r="E16" s="548"/>
      <c r="F16" s="1060" t="s">
        <v>443</v>
      </c>
      <c r="G16" s="1061"/>
      <c r="H16" s="1062"/>
      <c r="I16" s="578" t="s">
        <v>444</v>
      </c>
      <c r="J16" s="578" t="s">
        <v>445</v>
      </c>
      <c r="K16" s="548"/>
      <c r="L16" s="546" t="s">
        <v>446</v>
      </c>
      <c r="M16" s="547"/>
      <c r="N16" s="548"/>
      <c r="O16" s="579" t="s">
        <v>447</v>
      </c>
      <c r="P16" s="547"/>
      <c r="Q16" s="548"/>
    </row>
    <row r="17" spans="1:17" ht="18.75" customHeight="1">
      <c r="B17" s="1057" t="str">
        <f>IF(Captura!P67="GNP",UPPER(Captura!L23),"CANCELADO")</f>
        <v>CANCELADO</v>
      </c>
      <c r="C17" s="1059"/>
      <c r="D17" s="1059"/>
      <c r="E17" s="1058"/>
      <c r="F17" s="1057" t="s">
        <v>308</v>
      </c>
      <c r="G17" s="1059"/>
      <c r="H17" s="1058"/>
      <c r="I17" s="580" t="s">
        <v>448</v>
      </c>
      <c r="J17" s="571" t="s">
        <v>113</v>
      </c>
      <c r="K17" s="564"/>
      <c r="L17" s="1057" t="s">
        <v>297</v>
      </c>
      <c r="M17" s="1059"/>
      <c r="N17" s="1058"/>
      <c r="O17" s="570"/>
      <c r="P17" s="581"/>
      <c r="Q17" s="574"/>
    </row>
    <row r="18" spans="1:17">
      <c r="B18" s="1045" t="s">
        <v>449</v>
      </c>
      <c r="C18" s="1047"/>
      <c r="D18" s="1047"/>
      <c r="E18" s="1047"/>
      <c r="F18" s="1047"/>
      <c r="G18" s="1047"/>
      <c r="H18" s="1046"/>
      <c r="I18" s="546" t="s">
        <v>450</v>
      </c>
      <c r="J18" s="581"/>
      <c r="K18" s="581"/>
      <c r="L18" s="581"/>
      <c r="M18" s="574"/>
      <c r="N18" s="1045" t="s">
        <v>347</v>
      </c>
      <c r="O18" s="1047"/>
      <c r="P18" s="1047"/>
      <c r="Q18" s="1046"/>
    </row>
    <row r="19" spans="1:17">
      <c r="B19" s="570" t="s">
        <v>394</v>
      </c>
      <c r="C19" s="550"/>
      <c r="D19" s="550"/>
      <c r="E19" s="550"/>
      <c r="F19" s="550"/>
      <c r="G19" s="582" t="s">
        <v>451</v>
      </c>
      <c r="H19" s="583" t="s">
        <v>452</v>
      </c>
      <c r="I19" s="1063" t="s">
        <v>453</v>
      </c>
      <c r="J19" s="1064"/>
      <c r="K19" s="1064"/>
      <c r="L19" s="1064"/>
      <c r="M19" s="1065"/>
      <c r="N19" s="570" t="s">
        <v>454</v>
      </c>
      <c r="O19" s="581"/>
      <c r="P19" s="581"/>
      <c r="Q19" s="584" t="s">
        <v>455</v>
      </c>
    </row>
    <row r="20" spans="1:17">
      <c r="B20" s="570" t="s">
        <v>396</v>
      </c>
      <c r="C20" s="581"/>
      <c r="D20" s="581"/>
      <c r="E20" s="581"/>
      <c r="F20" s="581"/>
      <c r="G20" s="585" t="s">
        <v>451</v>
      </c>
      <c r="H20" s="586" t="s">
        <v>452</v>
      </c>
      <c r="I20" s="1063" t="s">
        <v>453</v>
      </c>
      <c r="J20" s="1064"/>
      <c r="K20" s="1064"/>
      <c r="L20" s="1064"/>
      <c r="M20" s="1065"/>
      <c r="N20" s="570" t="s">
        <v>456</v>
      </c>
      <c r="O20" s="581"/>
      <c r="P20" s="581"/>
      <c r="Q20" s="584" t="s">
        <v>455</v>
      </c>
    </row>
    <row r="21" spans="1:17">
      <c r="B21" s="552"/>
      <c r="C21" s="587" t="s">
        <v>457</v>
      </c>
      <c r="D21" s="553"/>
      <c r="E21" s="553"/>
      <c r="F21" s="553"/>
      <c r="G21" s="588"/>
      <c r="H21" s="589"/>
      <c r="I21" s="590">
        <v>3000000</v>
      </c>
      <c r="J21" s="553"/>
      <c r="K21" s="591"/>
      <c r="L21" s="553"/>
      <c r="M21" s="554"/>
      <c r="N21" s="546"/>
      <c r="O21" s="581"/>
      <c r="P21" s="581"/>
      <c r="Q21" s="574"/>
    </row>
    <row r="22" spans="1:17">
      <c r="B22" s="570" t="s">
        <v>458</v>
      </c>
      <c r="C22" s="581"/>
      <c r="D22" s="581"/>
      <c r="E22" s="581"/>
      <c r="F22" s="581"/>
      <c r="G22" s="585"/>
      <c r="H22" s="586" t="s">
        <v>452</v>
      </c>
      <c r="I22" s="592" t="s">
        <v>459</v>
      </c>
      <c r="J22" s="581"/>
      <c r="K22" s="581"/>
      <c r="L22" s="581"/>
      <c r="M22" s="574"/>
      <c r="N22" s="570"/>
      <c r="O22" s="581"/>
      <c r="P22" s="581"/>
      <c r="Q22" s="574"/>
    </row>
    <row r="23" spans="1:17">
      <c r="B23" s="552" t="s">
        <v>460</v>
      </c>
      <c r="C23" s="553"/>
      <c r="D23" s="553"/>
      <c r="E23" s="553"/>
      <c r="F23" s="553"/>
      <c r="G23" s="588" t="s">
        <v>451</v>
      </c>
      <c r="H23" s="589" t="s">
        <v>452</v>
      </c>
      <c r="I23" s="593">
        <v>250000</v>
      </c>
      <c r="J23" s="553"/>
      <c r="K23" s="553"/>
      <c r="L23" s="553"/>
      <c r="M23" s="554"/>
      <c r="N23" s="594" t="s">
        <v>461</v>
      </c>
      <c r="O23" s="553"/>
      <c r="P23" s="553"/>
      <c r="Q23" s="554"/>
    </row>
    <row r="24" spans="1:17">
      <c r="A24" s="595"/>
      <c r="B24" s="596" t="s">
        <v>462</v>
      </c>
      <c r="C24" s="581"/>
      <c r="D24" s="581"/>
      <c r="E24" s="581"/>
      <c r="F24" s="581"/>
      <c r="G24" s="585" t="s">
        <v>451</v>
      </c>
      <c r="H24" s="586" t="s">
        <v>452</v>
      </c>
      <c r="I24" s="597">
        <v>50000</v>
      </c>
      <c r="J24" s="581"/>
      <c r="K24" s="581"/>
      <c r="L24" s="581"/>
      <c r="M24" s="574"/>
      <c r="N24" s="598" t="s">
        <v>463</v>
      </c>
      <c r="O24" s="563"/>
      <c r="P24" s="563"/>
      <c r="Q24" s="564"/>
    </row>
    <row r="25" spans="1:17">
      <c r="A25" s="595"/>
      <c r="B25" s="599" t="s">
        <v>464</v>
      </c>
      <c r="C25" s="553"/>
      <c r="D25" s="553"/>
      <c r="E25" s="553"/>
      <c r="F25" s="553"/>
      <c r="G25" s="588" t="s">
        <v>451</v>
      </c>
      <c r="H25" s="589" t="s">
        <v>452</v>
      </c>
      <c r="I25" s="549" t="s">
        <v>465</v>
      </c>
      <c r="J25" s="550"/>
      <c r="K25" s="550"/>
      <c r="L25" s="550"/>
      <c r="M25" s="550"/>
      <c r="N25" s="550"/>
      <c r="O25" s="550"/>
      <c r="P25" s="550"/>
      <c r="Q25" s="551"/>
    </row>
    <row r="26" spans="1:17">
      <c r="A26" s="595"/>
      <c r="B26" s="599" t="s">
        <v>466</v>
      </c>
      <c r="C26" s="553"/>
      <c r="D26" s="553"/>
      <c r="E26" s="553"/>
      <c r="F26" s="553"/>
      <c r="G26" s="588" t="s">
        <v>451</v>
      </c>
      <c r="H26" s="589" t="s">
        <v>452</v>
      </c>
      <c r="I26" s="549"/>
      <c r="J26" s="550"/>
      <c r="K26" s="550"/>
      <c r="L26" s="550"/>
      <c r="M26" s="550"/>
      <c r="N26" s="550"/>
      <c r="O26" s="550"/>
      <c r="P26" s="550"/>
      <c r="Q26" s="551"/>
    </row>
    <row r="27" spans="1:17">
      <c r="B27" s="570" t="s">
        <v>467</v>
      </c>
      <c r="C27" s="581"/>
      <c r="D27" s="581"/>
      <c r="E27" s="581"/>
      <c r="F27" s="581"/>
      <c r="G27" s="581"/>
      <c r="H27" s="574"/>
      <c r="I27" s="570"/>
      <c r="J27" s="600" t="s">
        <v>468</v>
      </c>
      <c r="K27" s="581"/>
      <c r="L27" s="581"/>
      <c r="M27" s="581"/>
      <c r="N27" s="581"/>
      <c r="O27" s="581"/>
      <c r="P27" s="581"/>
      <c r="Q27" s="574"/>
    </row>
    <row r="28" spans="1:17">
      <c r="B28" s="1045" t="s">
        <v>469</v>
      </c>
      <c r="C28" s="1047"/>
      <c r="D28" s="1047"/>
      <c r="E28" s="1046"/>
      <c r="F28" s="546"/>
      <c r="G28" s="547" t="s">
        <v>470</v>
      </c>
      <c r="H28" s="581"/>
      <c r="I28" s="563"/>
      <c r="J28" s="563"/>
      <c r="K28" s="563"/>
      <c r="L28" s="563"/>
      <c r="M28" s="563"/>
      <c r="N28" s="601" t="s">
        <v>471</v>
      </c>
      <c r="O28" s="553"/>
      <c r="P28" s="553"/>
      <c r="Q28" s="554"/>
    </row>
    <row r="29" spans="1:17">
      <c r="B29" s="1068" t="str">
        <f>IF(Captura!P67="GNP",IF(Captura!K65="SÍ","SEGURO GRATIS 1 AÑO",("PRIMA TOTAL: "&amp;DOLLAR(Captura!F67,2)&amp;"    SUB.: "&amp;DOLLAR(Captura!F69,2))),"CANCELADO")</f>
        <v>CANCELADO</v>
      </c>
      <c r="C29" s="1069"/>
      <c r="D29" s="1069"/>
      <c r="E29" s="1070"/>
      <c r="F29" s="1077" t="str">
        <f>IF(Captura!P67="GNP","GRUPO: "&amp;Captura!D10&amp;"     CLIENTE: "&amp;TEXT(Captura!G10,"000")&amp;"   DISTRIBUIDORA: "&amp;TEXT(Captura!I20,"000"),"CANCELADO")</f>
        <v>CANCELADO</v>
      </c>
      <c r="G29" s="1078"/>
      <c r="H29" s="1078"/>
      <c r="I29" s="1078"/>
      <c r="J29" s="1078"/>
      <c r="K29" s="1078"/>
      <c r="L29" s="1078"/>
      <c r="M29" s="1079"/>
      <c r="N29" s="552"/>
      <c r="O29" s="553"/>
      <c r="P29" s="553"/>
      <c r="Q29" s="554"/>
    </row>
    <row r="30" spans="1:17">
      <c r="B30" s="1071"/>
      <c r="C30" s="1072"/>
      <c r="D30" s="1072"/>
      <c r="E30" s="1073"/>
      <c r="F30" s="1080"/>
      <c r="G30" s="1081"/>
      <c r="H30" s="1081"/>
      <c r="I30" s="1081"/>
      <c r="J30" s="1081"/>
      <c r="K30" s="1081"/>
      <c r="L30" s="1081"/>
      <c r="M30" s="1082"/>
      <c r="N30" s="552"/>
      <c r="O30" s="553"/>
      <c r="P30" s="553"/>
      <c r="Q30" s="554"/>
    </row>
    <row r="31" spans="1:17">
      <c r="B31" s="1074"/>
      <c r="C31" s="1075"/>
      <c r="D31" s="1075"/>
      <c r="E31" s="1076"/>
      <c r="F31" s="602"/>
      <c r="G31" s="563"/>
      <c r="H31" s="563"/>
      <c r="I31" s="563"/>
      <c r="J31" s="563"/>
      <c r="K31" s="563"/>
      <c r="L31" s="563"/>
      <c r="M31" s="563"/>
      <c r="N31" s="602"/>
      <c r="O31" s="563"/>
      <c r="P31" s="563"/>
      <c r="Q31" s="564"/>
    </row>
    <row r="32" spans="1:17">
      <c r="E32" s="603"/>
      <c r="I32" s="604" t="s">
        <v>472</v>
      </c>
    </row>
    <row r="33" spans="2:17" ht="15.75" thickBot="1">
      <c r="C33" s="553"/>
      <c r="E33" s="603"/>
      <c r="I33" s="605"/>
    </row>
    <row r="34" spans="2:17">
      <c r="B34" s="606"/>
      <c r="C34" s="607" t="s">
        <v>473</v>
      </c>
      <c r="D34" s="608"/>
      <c r="E34" s="608"/>
      <c r="F34" s="608"/>
      <c r="G34" s="608"/>
      <c r="H34" s="608"/>
      <c r="I34" s="608"/>
      <c r="J34" s="608"/>
      <c r="K34" s="608"/>
      <c r="L34" s="608"/>
      <c r="M34" s="609"/>
      <c r="N34" s="553"/>
      <c r="O34" s="553"/>
      <c r="P34" s="553"/>
      <c r="Q34" s="553"/>
    </row>
    <row r="35" spans="2:17">
      <c r="B35" s="610"/>
      <c r="C35" s="553"/>
      <c r="D35" s="553"/>
      <c r="E35" s="553"/>
      <c r="F35" s="553"/>
      <c r="G35" s="553"/>
      <c r="H35" s="553"/>
      <c r="I35" s="553"/>
      <c r="J35" s="553"/>
      <c r="K35" s="553"/>
      <c r="L35" s="553"/>
      <c r="M35" s="611"/>
      <c r="N35" s="553"/>
      <c r="O35" s="553"/>
      <c r="P35" s="553"/>
      <c r="Q35" s="553"/>
    </row>
    <row r="36" spans="2:17" ht="12.75" customHeight="1">
      <c r="B36" s="612" t="s">
        <v>474</v>
      </c>
      <c r="C36" s="1066" t="s">
        <v>475</v>
      </c>
      <c r="D36" s="1066"/>
      <c r="E36" s="1066"/>
      <c r="F36" s="1066"/>
      <c r="G36" s="1066"/>
      <c r="H36" s="1066"/>
      <c r="I36" s="1066"/>
      <c r="J36" s="1066"/>
      <c r="K36" s="1066"/>
      <c r="L36" s="1066"/>
      <c r="M36" s="1067"/>
      <c r="N36" s="587"/>
      <c r="O36" s="553"/>
      <c r="P36" s="587"/>
      <c r="Q36" s="587"/>
    </row>
    <row r="37" spans="2:17" ht="12.75" customHeight="1">
      <c r="B37" s="613"/>
      <c r="C37" s="1066" t="s">
        <v>476</v>
      </c>
      <c r="D37" s="1066"/>
      <c r="E37" s="1066"/>
      <c r="F37" s="1066"/>
      <c r="G37" s="1066"/>
      <c r="H37" s="1066"/>
      <c r="I37" s="1066"/>
      <c r="J37" s="1066"/>
      <c r="K37" s="1066"/>
      <c r="L37" s="1066"/>
      <c r="M37" s="1067"/>
      <c r="N37" s="587"/>
      <c r="O37" s="553"/>
      <c r="P37" s="587"/>
      <c r="Q37" s="587"/>
    </row>
    <row r="38" spans="2:17">
      <c r="B38" s="613"/>
      <c r="C38" s="587"/>
      <c r="D38" s="587"/>
      <c r="E38" s="587"/>
      <c r="F38" s="587"/>
      <c r="G38" s="587"/>
      <c r="H38" s="587"/>
      <c r="I38" s="587"/>
      <c r="J38" s="587"/>
      <c r="K38" s="587"/>
      <c r="L38" s="587"/>
      <c r="M38" s="614"/>
      <c r="N38" s="587"/>
      <c r="O38" s="553"/>
      <c r="P38" s="587"/>
      <c r="Q38" s="587"/>
    </row>
    <row r="39" spans="2:17" ht="12.75" customHeight="1">
      <c r="B39" s="612" t="s">
        <v>477</v>
      </c>
      <c r="C39" s="1066" t="s">
        <v>478</v>
      </c>
      <c r="D39" s="1066"/>
      <c r="E39" s="1066"/>
      <c r="F39" s="1066"/>
      <c r="G39" s="1066"/>
      <c r="H39" s="1066"/>
      <c r="I39" s="1066"/>
      <c r="J39" s="1066"/>
      <c r="K39" s="1066"/>
      <c r="L39" s="1066"/>
      <c r="M39" s="1067"/>
      <c r="N39" s="587"/>
      <c r="O39" s="553"/>
      <c r="P39" s="587"/>
      <c r="Q39" s="587"/>
    </row>
    <row r="40" spans="2:17" ht="12.75" customHeight="1">
      <c r="B40" s="613"/>
      <c r="C40" s="1066" t="s">
        <v>479</v>
      </c>
      <c r="D40" s="1066"/>
      <c r="E40" s="1066"/>
      <c r="F40" s="1066"/>
      <c r="G40" s="1066"/>
      <c r="H40" s="1066"/>
      <c r="I40" s="1066"/>
      <c r="J40" s="1066"/>
      <c r="K40" s="1066"/>
      <c r="L40" s="1066"/>
      <c r="M40" s="1067"/>
      <c r="N40" s="587"/>
      <c r="O40" s="553"/>
      <c r="P40" s="587"/>
      <c r="Q40" s="587"/>
    </row>
    <row r="41" spans="2:17" ht="12.75" customHeight="1">
      <c r="B41" s="613"/>
      <c r="C41" s="1066" t="s">
        <v>480</v>
      </c>
      <c r="D41" s="1066"/>
      <c r="E41" s="1066"/>
      <c r="F41" s="1066"/>
      <c r="G41" s="1066"/>
      <c r="H41" s="1066"/>
      <c r="I41" s="1066"/>
      <c r="J41" s="1066"/>
      <c r="K41" s="1066"/>
      <c r="L41" s="1066"/>
      <c r="M41" s="1067"/>
      <c r="N41" s="587"/>
      <c r="O41" s="553"/>
      <c r="P41" s="587"/>
      <c r="Q41" s="587"/>
    </row>
    <row r="42" spans="2:17" ht="12.75" customHeight="1">
      <c r="B42" s="613"/>
      <c r="C42" s="1066" t="s">
        <v>481</v>
      </c>
      <c r="D42" s="1066"/>
      <c r="E42" s="1066"/>
      <c r="F42" s="1066"/>
      <c r="G42" s="1066"/>
      <c r="H42" s="1066"/>
      <c r="I42" s="1066"/>
      <c r="J42" s="1066"/>
      <c r="K42" s="1066"/>
      <c r="L42" s="1066"/>
      <c r="M42" s="1067"/>
      <c r="N42" s="587"/>
      <c r="O42" s="553"/>
      <c r="P42" s="587"/>
      <c r="Q42" s="587"/>
    </row>
    <row r="43" spans="2:17">
      <c r="B43" s="615"/>
      <c r="C43" s="616"/>
      <c r="D43" s="616"/>
      <c r="E43" s="616"/>
      <c r="F43" s="616"/>
      <c r="G43" s="616"/>
      <c r="H43" s="616"/>
      <c r="I43" s="587"/>
      <c r="J43" s="587"/>
      <c r="K43" s="587"/>
      <c r="L43" s="587"/>
      <c r="M43" s="614"/>
      <c r="N43" s="587"/>
      <c r="O43" s="553"/>
      <c r="P43" s="587"/>
      <c r="Q43" s="587"/>
    </row>
    <row r="44" spans="2:17">
      <c r="B44" s="612" t="s">
        <v>482</v>
      </c>
      <c r="C44" s="587" t="s">
        <v>483</v>
      </c>
      <c r="D44" s="587"/>
      <c r="E44" s="587"/>
      <c r="F44" s="587"/>
      <c r="G44" s="587"/>
      <c r="H44" s="587"/>
      <c r="I44" s="587"/>
      <c r="J44" s="587"/>
      <c r="K44" s="587"/>
      <c r="L44" s="587"/>
      <c r="M44" s="614"/>
      <c r="N44" s="587"/>
      <c r="O44" s="553"/>
      <c r="P44" s="587"/>
      <c r="Q44" s="587"/>
    </row>
    <row r="45" spans="2:17" ht="9" customHeight="1">
      <c r="B45" s="610"/>
      <c r="C45" s="587"/>
      <c r="D45" s="587"/>
      <c r="E45" s="587"/>
      <c r="F45" s="587"/>
      <c r="G45" s="587"/>
      <c r="H45" s="587"/>
      <c r="I45" s="587"/>
      <c r="J45" s="587"/>
      <c r="K45" s="587"/>
      <c r="L45" s="587"/>
      <c r="M45" s="614"/>
      <c r="N45" s="587"/>
      <c r="O45" s="553"/>
      <c r="P45" s="587"/>
      <c r="Q45" s="587"/>
    </row>
    <row r="46" spans="2:17" ht="12.75" customHeight="1">
      <c r="B46" s="613"/>
      <c r="C46" s="1066" t="s">
        <v>484</v>
      </c>
      <c r="D46" s="1066"/>
      <c r="E46" s="1066"/>
      <c r="F46" s="1066"/>
      <c r="G46" s="1066"/>
      <c r="H46" s="1066"/>
      <c r="I46" s="1066"/>
      <c r="J46" s="1066"/>
      <c r="K46" s="1066"/>
      <c r="L46" s="1066"/>
      <c r="M46" s="1067"/>
      <c r="N46" s="587"/>
      <c r="O46" s="553"/>
      <c r="P46" s="587"/>
      <c r="Q46" s="587"/>
    </row>
    <row r="47" spans="2:17" ht="12.75" customHeight="1">
      <c r="B47" s="613"/>
      <c r="C47" s="1066" t="s">
        <v>485</v>
      </c>
      <c r="D47" s="1066"/>
      <c r="E47" s="1066"/>
      <c r="F47" s="1066"/>
      <c r="G47" s="1066"/>
      <c r="H47" s="1066"/>
      <c r="I47" s="1066"/>
      <c r="J47" s="1066"/>
      <c r="K47" s="1066"/>
      <c r="L47" s="1066"/>
      <c r="M47" s="1067"/>
      <c r="N47" s="587"/>
      <c r="O47" s="553"/>
      <c r="P47" s="587"/>
      <c r="Q47" s="587"/>
    </row>
    <row r="48" spans="2:17">
      <c r="B48" s="613"/>
      <c r="C48" s="587"/>
      <c r="D48" s="587"/>
      <c r="E48" s="587"/>
      <c r="F48" s="587"/>
      <c r="G48" s="587"/>
      <c r="H48" s="587"/>
      <c r="I48" s="587"/>
      <c r="J48" s="587"/>
      <c r="K48" s="587"/>
      <c r="L48" s="587"/>
      <c r="M48" s="614"/>
      <c r="N48" s="587"/>
      <c r="O48" s="553"/>
      <c r="P48" s="587"/>
      <c r="Q48" s="587"/>
    </row>
    <row r="49" spans="2:30" ht="12.75" customHeight="1">
      <c r="B49" s="612" t="s">
        <v>486</v>
      </c>
      <c r="C49" s="1066" t="s">
        <v>487</v>
      </c>
      <c r="D49" s="1066"/>
      <c r="E49" s="1066"/>
      <c r="F49" s="1066"/>
      <c r="G49" s="1066"/>
      <c r="H49" s="1066"/>
      <c r="I49" s="1066"/>
      <c r="J49" s="1066"/>
      <c r="K49" s="1066"/>
      <c r="L49" s="1066"/>
      <c r="M49" s="1067"/>
      <c r="N49" s="587"/>
      <c r="O49" s="553"/>
      <c r="P49" s="587"/>
      <c r="Q49" s="587"/>
    </row>
    <row r="50" spans="2:30">
      <c r="B50" s="613"/>
      <c r="C50" s="1083" t="s">
        <v>488</v>
      </c>
      <c r="D50" s="1083"/>
      <c r="E50" s="1083"/>
      <c r="F50" s="1083"/>
      <c r="G50" s="1083"/>
      <c r="H50" s="1083"/>
      <c r="I50" s="1083"/>
      <c r="J50" s="1083"/>
      <c r="K50" s="1083"/>
      <c r="L50" s="1083"/>
      <c r="M50" s="1084"/>
      <c r="N50" s="587"/>
      <c r="O50" s="553"/>
      <c r="P50" s="587"/>
      <c r="Q50" s="587"/>
    </row>
    <row r="51" spans="2:30">
      <c r="B51" s="613"/>
      <c r="C51" s="587"/>
      <c r="D51" s="587"/>
      <c r="E51" s="587"/>
      <c r="F51" s="587"/>
      <c r="G51" s="587"/>
      <c r="H51" s="587"/>
      <c r="I51" s="587"/>
      <c r="J51" s="587"/>
      <c r="K51" s="587"/>
      <c r="L51" s="587"/>
      <c r="M51" s="614"/>
      <c r="N51" s="587"/>
      <c r="O51" s="553"/>
      <c r="P51" s="587"/>
      <c r="Q51" s="587"/>
      <c r="T51" s="1066" t="s">
        <v>489</v>
      </c>
      <c r="U51" s="1066"/>
      <c r="V51" s="1066"/>
      <c r="W51" s="1066"/>
      <c r="X51" s="1066"/>
      <c r="Y51" s="1066"/>
      <c r="Z51" s="1066"/>
      <c r="AA51" s="1066"/>
      <c r="AB51" s="1066"/>
      <c r="AC51" s="1066"/>
      <c r="AD51" s="1067"/>
    </row>
    <row r="52" spans="2:30" ht="22.5" customHeight="1">
      <c r="B52" s="613"/>
      <c r="C52" s="1066" t="str">
        <f>IF(Captura!K65="SÍ",C.C.GNP!T51,C.C.GNP!T52)</f>
        <v>DURANTE EL PRIMER AÑO DE VIGENCIA DE LA PÓLIZA SE TOMARÁ EL VALOR FACTURADO DE LA UNIDAD (QUE DEBERÁ SER IGUAL AL VALOR DE LA FACTURA DE LA UNIDAD ENTREGADA)</v>
      </c>
      <c r="D52" s="1066"/>
      <c r="E52" s="1066"/>
      <c r="F52" s="1066"/>
      <c r="G52" s="1066"/>
      <c r="H52" s="1066"/>
      <c r="I52" s="1066"/>
      <c r="J52" s="1066"/>
      <c r="K52" s="1066"/>
      <c r="L52" s="1066"/>
      <c r="M52" s="1067"/>
      <c r="N52" s="587"/>
      <c r="O52" s="553"/>
      <c r="P52" s="587"/>
      <c r="Q52" s="587"/>
      <c r="T52" s="1066" t="s">
        <v>490</v>
      </c>
      <c r="U52" s="1066"/>
      <c r="V52" s="1066"/>
      <c r="W52" s="1066"/>
      <c r="X52" s="1066"/>
      <c r="Y52" s="1066"/>
      <c r="Z52" s="1066"/>
      <c r="AA52" s="1066"/>
      <c r="AB52" s="1066"/>
      <c r="AC52" s="1066"/>
      <c r="AD52" s="1067"/>
    </row>
    <row r="53" spans="2:30">
      <c r="B53" s="613"/>
      <c r="C53" s="1066"/>
      <c r="D53" s="1066"/>
      <c r="E53" s="1066"/>
      <c r="F53" s="1066"/>
      <c r="G53" s="1066"/>
      <c r="H53" s="1066"/>
      <c r="I53" s="1066"/>
      <c r="J53" s="1066"/>
      <c r="K53" s="1066"/>
      <c r="L53" s="1066"/>
      <c r="M53" s="1067"/>
      <c r="N53" s="587"/>
      <c r="O53" s="553"/>
      <c r="P53" s="587"/>
      <c r="Q53" s="587"/>
    </row>
    <row r="54" spans="2:30" ht="12.75" customHeight="1">
      <c r="B54" s="613"/>
      <c r="C54" s="1066" t="s">
        <v>491</v>
      </c>
      <c r="D54" s="1066"/>
      <c r="E54" s="1066"/>
      <c r="F54" s="1066"/>
      <c r="G54" s="1066"/>
      <c r="H54" s="1066"/>
      <c r="I54" s="1066"/>
      <c r="J54" s="1066"/>
      <c r="K54" s="1066"/>
      <c r="L54" s="1066"/>
      <c r="M54" s="1067"/>
      <c r="N54" s="587"/>
      <c r="O54" s="553"/>
      <c r="P54" s="587"/>
      <c r="Q54" s="587"/>
    </row>
    <row r="55" spans="2:30">
      <c r="B55" s="613"/>
      <c r="C55" s="1066"/>
      <c r="D55" s="1066"/>
      <c r="E55" s="1066"/>
      <c r="F55" s="1066"/>
      <c r="G55" s="1066"/>
      <c r="H55" s="1066"/>
      <c r="I55" s="1066"/>
      <c r="J55" s="1066"/>
      <c r="K55" s="1066"/>
      <c r="L55" s="1066"/>
      <c r="M55" s="1067"/>
      <c r="N55" s="587"/>
      <c r="O55" s="553"/>
      <c r="P55" s="587"/>
      <c r="Q55" s="587"/>
    </row>
    <row r="56" spans="2:30" ht="12.75" customHeight="1">
      <c r="B56" s="613"/>
      <c r="C56" s="1066" t="s">
        <v>492</v>
      </c>
      <c r="D56" s="1066"/>
      <c r="E56" s="1066"/>
      <c r="F56" s="1066"/>
      <c r="G56" s="1066"/>
      <c r="H56" s="1066"/>
      <c r="I56" s="1066"/>
      <c r="J56" s="1066"/>
      <c r="K56" s="1066"/>
      <c r="L56" s="1066"/>
      <c r="M56" s="1067"/>
      <c r="N56" s="587"/>
      <c r="O56" s="553"/>
      <c r="P56" s="587"/>
      <c r="Q56" s="587"/>
    </row>
    <row r="57" spans="2:30">
      <c r="B57" s="613"/>
      <c r="C57" s="1083" t="s">
        <v>493</v>
      </c>
      <c r="D57" s="1083"/>
      <c r="E57" s="1083"/>
      <c r="F57" s="1083"/>
      <c r="G57" s="1083"/>
      <c r="H57" s="1083"/>
      <c r="I57" s="1083"/>
      <c r="J57" s="1083"/>
      <c r="K57" s="1083"/>
      <c r="L57" s="1083"/>
      <c r="M57" s="1084"/>
      <c r="N57" s="587"/>
      <c r="O57" s="553"/>
      <c r="P57" s="587"/>
      <c r="Q57" s="587"/>
    </row>
    <row r="58" spans="2:30">
      <c r="B58" s="613"/>
      <c r="C58" s="587"/>
      <c r="D58" s="587"/>
      <c r="E58" s="587"/>
      <c r="F58" s="587"/>
      <c r="G58" s="587"/>
      <c r="H58" s="587"/>
      <c r="I58" s="587"/>
      <c r="J58" s="587"/>
      <c r="K58" s="587"/>
      <c r="L58" s="587"/>
      <c r="M58" s="614"/>
      <c r="N58" s="587"/>
      <c r="O58" s="553"/>
      <c r="P58" s="587"/>
      <c r="Q58" s="587"/>
    </row>
    <row r="59" spans="2:30">
      <c r="B59" s="613"/>
      <c r="C59" s="617" t="s">
        <v>494</v>
      </c>
      <c r="D59" s="1087" t="str">
        <f>IF(Captura!P67="GNP",Captura!R22,"CANCELADO")</f>
        <v>CANCELADO</v>
      </c>
      <c r="E59" s="1087"/>
      <c r="F59" s="1087"/>
      <c r="G59" s="587"/>
      <c r="H59" s="587"/>
      <c r="I59" s="587"/>
      <c r="J59" s="587"/>
      <c r="K59" s="587"/>
      <c r="L59" s="587"/>
      <c r="M59" s="614"/>
      <c r="N59" s="587"/>
      <c r="O59" s="553"/>
      <c r="P59" s="587"/>
      <c r="Q59" s="587"/>
    </row>
    <row r="60" spans="2:30">
      <c r="B60" s="613"/>
      <c r="C60" s="587"/>
      <c r="D60" s="587"/>
      <c r="E60" s="587"/>
      <c r="F60" s="587"/>
      <c r="G60" s="587"/>
      <c r="H60" s="587"/>
      <c r="I60" s="587"/>
      <c r="J60" s="587"/>
      <c r="K60" s="587"/>
      <c r="L60" s="553"/>
      <c r="M60" s="611"/>
      <c r="N60" s="587"/>
      <c r="O60" s="553"/>
      <c r="P60" s="587"/>
      <c r="Q60" s="587"/>
    </row>
    <row r="61" spans="2:30">
      <c r="B61" s="610"/>
      <c r="C61" s="553"/>
      <c r="D61" s="553"/>
      <c r="E61" s="553"/>
      <c r="F61" s="553"/>
      <c r="G61" s="553"/>
      <c r="H61" s="553"/>
      <c r="I61" s="553"/>
      <c r="J61" s="553"/>
      <c r="K61" s="553"/>
      <c r="L61" s="553"/>
      <c r="M61" s="611"/>
    </row>
    <row r="62" spans="2:30">
      <c r="B62" s="610"/>
      <c r="C62" s="553"/>
      <c r="D62" s="553"/>
      <c r="E62" s="553"/>
      <c r="F62" s="553"/>
      <c r="G62" s="553"/>
      <c r="H62" s="553"/>
      <c r="I62" s="553"/>
      <c r="J62" s="553"/>
      <c r="K62" s="553"/>
      <c r="L62" s="553"/>
      <c r="M62" s="611"/>
    </row>
    <row r="63" spans="2:30">
      <c r="B63" s="610"/>
      <c r="C63" s="553"/>
      <c r="D63" s="553"/>
      <c r="E63" s="553"/>
      <c r="F63" s="553"/>
      <c r="G63" s="553"/>
      <c r="H63" s="553"/>
      <c r="I63" s="553"/>
      <c r="J63" s="553"/>
      <c r="K63" s="553"/>
      <c r="L63" s="553"/>
      <c r="M63" s="611"/>
    </row>
    <row r="64" spans="2:30">
      <c r="B64" s="610"/>
      <c r="C64" s="553"/>
      <c r="D64" s="553"/>
      <c r="E64" s="553"/>
      <c r="F64" s="553"/>
      <c r="G64" s="553"/>
      <c r="H64" s="553"/>
      <c r="I64" s="553"/>
      <c r="J64" s="553"/>
      <c r="K64" s="553"/>
      <c r="L64" s="553"/>
      <c r="M64" s="611"/>
    </row>
    <row r="65" spans="2:13">
      <c r="B65" s="610"/>
      <c r="C65" s="553"/>
      <c r="D65" s="553"/>
      <c r="E65" s="553"/>
      <c r="F65" s="553"/>
      <c r="G65" s="553"/>
      <c r="H65" s="553"/>
      <c r="I65" s="553"/>
      <c r="J65" s="553"/>
      <c r="K65" s="553"/>
      <c r="L65" s="553"/>
      <c r="M65" s="611"/>
    </row>
    <row r="66" spans="2:13">
      <c r="B66" s="610"/>
      <c r="C66" s="553"/>
      <c r="D66" s="553"/>
      <c r="E66" s="553"/>
      <c r="F66" s="553"/>
      <c r="G66" s="553"/>
      <c r="H66" s="553"/>
      <c r="I66" s="553"/>
      <c r="J66" s="553"/>
      <c r="K66" s="553"/>
      <c r="L66" s="553"/>
      <c r="M66" s="611"/>
    </row>
    <row r="67" spans="2:13">
      <c r="B67" s="610"/>
      <c r="C67" s="553"/>
      <c r="D67" s="553"/>
      <c r="E67" s="553"/>
      <c r="F67" s="553"/>
      <c r="G67" s="553"/>
      <c r="H67" s="553"/>
      <c r="I67" s="553"/>
      <c r="J67" s="553"/>
      <c r="K67" s="553"/>
      <c r="L67" s="553"/>
      <c r="M67" s="611"/>
    </row>
    <row r="68" spans="2:13">
      <c r="B68" s="610"/>
      <c r="C68" s="553"/>
      <c r="D68" s="553"/>
      <c r="E68" s="553"/>
      <c r="F68" s="553"/>
      <c r="G68" s="553"/>
      <c r="H68" s="553"/>
      <c r="I68" s="553"/>
      <c r="J68" s="553"/>
      <c r="K68" s="553"/>
      <c r="L68" s="553"/>
      <c r="M68" s="611"/>
    </row>
    <row r="69" spans="2:13">
      <c r="B69" s="610"/>
      <c r="C69" s="553"/>
      <c r="D69" s="553"/>
      <c r="E69" s="553"/>
      <c r="F69" s="553"/>
      <c r="G69" s="553"/>
      <c r="H69" s="553"/>
      <c r="I69" s="553"/>
      <c r="J69" s="553"/>
      <c r="K69" s="553"/>
      <c r="L69" s="553"/>
      <c r="M69" s="611"/>
    </row>
    <row r="70" spans="2:13">
      <c r="B70" s="610"/>
      <c r="C70" s="553"/>
      <c r="D70" s="553"/>
      <c r="E70" s="553"/>
      <c r="F70" s="553"/>
      <c r="G70" s="553"/>
      <c r="H70" s="553"/>
      <c r="I70" s="553"/>
      <c r="J70" s="553"/>
      <c r="K70" s="553"/>
      <c r="L70" s="553"/>
      <c r="M70" s="611"/>
    </row>
    <row r="71" spans="2:13">
      <c r="B71" s="610"/>
      <c r="C71" s="553"/>
      <c r="D71" s="553"/>
      <c r="E71" s="553"/>
      <c r="F71" s="553"/>
      <c r="G71" s="553"/>
      <c r="H71" s="553"/>
      <c r="I71" s="553"/>
      <c r="J71" s="553"/>
      <c r="K71" s="553"/>
      <c r="L71" s="553"/>
      <c r="M71" s="611"/>
    </row>
    <row r="72" spans="2:13">
      <c r="B72" s="610"/>
      <c r="C72" s="553"/>
      <c r="D72" s="553"/>
      <c r="E72" s="553"/>
      <c r="F72" s="553"/>
      <c r="G72" s="553"/>
      <c r="H72" s="553"/>
      <c r="I72" s="553"/>
      <c r="J72" s="553"/>
      <c r="K72" s="553"/>
      <c r="L72" s="553"/>
      <c r="M72" s="611"/>
    </row>
    <row r="73" spans="2:13" ht="15.75" thickBot="1">
      <c r="B73" s="618"/>
      <c r="C73" s="619"/>
      <c r="D73" s="619"/>
      <c r="E73" s="619"/>
      <c r="F73" s="619"/>
      <c r="G73" s="619"/>
      <c r="H73" s="619"/>
      <c r="I73" s="619"/>
      <c r="J73" s="619"/>
      <c r="K73" s="619"/>
      <c r="L73" s="1085" t="s">
        <v>495</v>
      </c>
      <c r="M73" s="1086"/>
    </row>
    <row r="74" spans="2:13"/>
  </sheetData>
  <sheetProtection password="F4F5" sheet="1" objects="1" scenarios="1" selectLockedCells="1" selectUnlockedCells="1"/>
  <mergeCells count="41">
    <mergeCell ref="T51:AD51"/>
    <mergeCell ref="L73:M73"/>
    <mergeCell ref="C53:M53"/>
    <mergeCell ref="C54:M54"/>
    <mergeCell ref="C55:M55"/>
    <mergeCell ref="C56:M56"/>
    <mergeCell ref="C57:M57"/>
    <mergeCell ref="D59:F59"/>
    <mergeCell ref="T52:AD52"/>
    <mergeCell ref="C36:M36"/>
    <mergeCell ref="C37:M37"/>
    <mergeCell ref="C39:M39"/>
    <mergeCell ref="C40:M40"/>
    <mergeCell ref="C41:M41"/>
    <mergeCell ref="C42:M42"/>
    <mergeCell ref="C46:M46"/>
    <mergeCell ref="C47:M47"/>
    <mergeCell ref="C49:M49"/>
    <mergeCell ref="I19:M19"/>
    <mergeCell ref="I20:M20"/>
    <mergeCell ref="B28:E28"/>
    <mergeCell ref="C52:M52"/>
    <mergeCell ref="B29:E31"/>
    <mergeCell ref="F29:M30"/>
    <mergeCell ref="C50:M50"/>
    <mergeCell ref="B15:C15"/>
    <mergeCell ref="D15:E15"/>
    <mergeCell ref="F15:M15"/>
    <mergeCell ref="B18:H18"/>
    <mergeCell ref="O15:Q15"/>
    <mergeCell ref="F16:H16"/>
    <mergeCell ref="B17:E17"/>
    <mergeCell ref="F17:H17"/>
    <mergeCell ref="L17:N17"/>
    <mergeCell ref="N18:Q18"/>
    <mergeCell ref="G11:H11"/>
    <mergeCell ref="I4:J4"/>
    <mergeCell ref="L4:Q4"/>
    <mergeCell ref="L5:Q5"/>
    <mergeCell ref="B7:I7"/>
    <mergeCell ref="B8:I9"/>
  </mergeCells>
  <printOptions horizontalCentered="1" verticalCentered="1"/>
  <pageMargins left="0.70866141732283472" right="0.70866141732283472" top="0.74803149606299213" bottom="0.74803149606299213" header="0.31496062992125984" footer="0.31496062992125984"/>
  <pageSetup scale="62" orientation="portrait" r:id="rId1"/>
  <drawing r:id="rId2"/>
</worksheet>
</file>

<file path=xl/worksheets/sheet35.xml><?xml version="1.0" encoding="utf-8"?>
<worksheet xmlns="http://schemas.openxmlformats.org/spreadsheetml/2006/main" xmlns:r="http://schemas.openxmlformats.org/officeDocument/2006/relationships">
  <sheetPr>
    <tabColor theme="0" tint="-0.249977111117893"/>
    <pageSetUpPr fitToPage="1"/>
  </sheetPr>
  <dimension ref="A1:U75"/>
  <sheetViews>
    <sheetView workbookViewId="0">
      <selection activeCell="E8" sqref="E8"/>
    </sheetView>
  </sheetViews>
  <sheetFormatPr baseColWidth="10" defaultColWidth="0" defaultRowHeight="0" customHeight="1" zeroHeight="1"/>
  <cols>
    <col min="1" max="1" width="7.83203125" style="654" customWidth="1"/>
    <col min="2" max="2" width="3.1640625" style="654" customWidth="1"/>
    <col min="3" max="3" width="42.83203125" style="654" customWidth="1"/>
    <col min="4" max="4" width="3.1640625" style="654" customWidth="1"/>
    <col min="5" max="5" width="18.6640625" style="654" customWidth="1"/>
    <col min="6" max="6" width="3.1640625" style="654" customWidth="1"/>
    <col min="7" max="7" width="7.83203125" style="654" customWidth="1"/>
    <col min="8" max="8" width="25.33203125" style="654" hidden="1"/>
    <col min="9" max="9" width="13.33203125" style="654" hidden="1"/>
    <col min="10" max="10" width="14.83203125" style="654" hidden="1"/>
    <col min="11" max="16384" width="13.33203125" style="654" hidden="1"/>
  </cols>
  <sheetData>
    <row r="1" spans="1:21" ht="13.5" thickBot="1">
      <c r="A1" s="428"/>
      <c r="B1" s="428"/>
      <c r="C1" s="428"/>
      <c r="D1" s="428"/>
      <c r="E1" s="428"/>
      <c r="F1" s="428"/>
      <c r="G1" s="428"/>
    </row>
    <row r="2" spans="1:21" ht="12.75">
      <c r="A2" s="428"/>
      <c r="B2" s="1089" t="s">
        <v>500</v>
      </c>
      <c r="C2" s="1090"/>
      <c r="D2" s="1090"/>
      <c r="E2" s="1090"/>
      <c r="F2" s="1090"/>
      <c r="G2" s="428"/>
    </row>
    <row r="3" spans="1:21" ht="12.75">
      <c r="A3" s="428"/>
      <c r="B3" s="1091"/>
      <c r="C3" s="1092"/>
      <c r="D3" s="1092"/>
      <c r="E3" s="1092"/>
      <c r="F3" s="1092"/>
      <c r="G3" s="428"/>
    </row>
    <row r="4" spans="1:21" ht="13.5" thickBot="1">
      <c r="A4" s="428"/>
      <c r="B4" s="1093"/>
      <c r="C4" s="1094"/>
      <c r="D4" s="1094"/>
      <c r="E4" s="1094"/>
      <c r="F4" s="1094"/>
      <c r="G4" s="428"/>
    </row>
    <row r="5" spans="1:21" ht="12.75">
      <c r="A5" s="428"/>
      <c r="B5" s="428"/>
      <c r="C5" s="428"/>
      <c r="D5" s="428"/>
      <c r="E5" s="428"/>
      <c r="F5" s="428"/>
      <c r="G5" s="428"/>
    </row>
    <row r="6" spans="1:21" ht="13.5" thickBot="1">
      <c r="A6" s="428"/>
      <c r="B6" s="428"/>
      <c r="C6" s="428"/>
      <c r="D6" s="428"/>
      <c r="E6" s="428"/>
      <c r="F6" s="428"/>
      <c r="G6" s="428"/>
      <c r="I6" s="816" t="s">
        <v>501</v>
      </c>
      <c r="J6" s="817"/>
      <c r="K6" s="818" t="s">
        <v>502</v>
      </c>
      <c r="L6" s="817"/>
      <c r="M6" s="816" t="s">
        <v>503</v>
      </c>
      <c r="N6" s="816"/>
      <c r="O6" s="816"/>
      <c r="P6" s="817"/>
      <c r="Q6" s="818" t="s">
        <v>504</v>
      </c>
      <c r="R6" s="817"/>
      <c r="S6" s="817"/>
    </row>
    <row r="7" spans="1:21" ht="13.5" thickBot="1">
      <c r="A7" s="428"/>
      <c r="B7" s="819"/>
      <c r="C7" s="672"/>
      <c r="D7" s="672"/>
      <c r="E7" s="672"/>
      <c r="F7" s="674"/>
      <c r="G7" s="428"/>
      <c r="I7" s="816"/>
      <c r="K7" s="820"/>
      <c r="M7" s="816"/>
      <c r="N7" s="816"/>
      <c r="O7" s="816"/>
      <c r="Q7" s="820"/>
      <c r="U7" s="821" t="s">
        <v>129</v>
      </c>
    </row>
    <row r="8" spans="1:21" ht="13.5" thickTop="1">
      <c r="A8" s="428"/>
      <c r="B8" s="822"/>
      <c r="C8" s="823" t="s">
        <v>505</v>
      </c>
      <c r="D8" s="824"/>
      <c r="E8" s="645">
        <v>60</v>
      </c>
      <c r="F8" s="825"/>
      <c r="G8" s="428"/>
      <c r="I8" s="826">
        <v>48</v>
      </c>
      <c r="J8" s="827" t="s">
        <v>434</v>
      </c>
      <c r="K8" s="826">
        <f>DAY(E9)</f>
        <v>3</v>
      </c>
      <c r="L8" s="828">
        <f>(3&amp;-N8&amp;-O8)*1</f>
        <v>41885</v>
      </c>
      <c r="M8" s="826">
        <v>1</v>
      </c>
      <c r="N8" s="826">
        <f>K9</f>
        <v>9</v>
      </c>
      <c r="O8" s="826">
        <f>K10</f>
        <v>2014</v>
      </c>
      <c r="Q8" s="654">
        <v>0</v>
      </c>
      <c r="U8" s="821" t="s">
        <v>105</v>
      </c>
    </row>
    <row r="9" spans="1:21" ht="12.75">
      <c r="A9" s="428"/>
      <c r="B9" s="822"/>
      <c r="C9" s="823" t="s">
        <v>506</v>
      </c>
      <c r="D9" s="824"/>
      <c r="E9" s="646">
        <v>41885</v>
      </c>
      <c r="F9" s="825"/>
      <c r="G9" s="428"/>
      <c r="I9" s="826">
        <v>60</v>
      </c>
      <c r="J9" s="827" t="s">
        <v>435</v>
      </c>
      <c r="K9" s="826">
        <f>MONTH(E9)</f>
        <v>9</v>
      </c>
      <c r="L9" s="828">
        <f t="shared" ref="L9:L67" si="0">(3&amp;-N9&amp;-O9)*1</f>
        <v>41915</v>
      </c>
      <c r="M9" s="826">
        <v>2</v>
      </c>
      <c r="N9" s="826">
        <f>IF(N8=12,1,N8+1)</f>
        <v>10</v>
      </c>
      <c r="O9" s="826">
        <f>IF(N8=12,O8+1,O8)</f>
        <v>2014</v>
      </c>
      <c r="Q9" s="654">
        <v>12</v>
      </c>
      <c r="U9" s="821" t="s">
        <v>17</v>
      </c>
    </row>
    <row r="10" spans="1:21" ht="12.75">
      <c r="A10" s="428"/>
      <c r="B10" s="822"/>
      <c r="C10" s="823" t="s">
        <v>507</v>
      </c>
      <c r="D10" s="824"/>
      <c r="E10" s="829">
        <f>Cotizador!Q32</f>
        <v>41963</v>
      </c>
      <c r="F10" s="825"/>
      <c r="G10" s="428"/>
      <c r="I10" s="826"/>
      <c r="J10" s="827" t="s">
        <v>436</v>
      </c>
      <c r="K10" s="826">
        <f>YEAR(E9)</f>
        <v>2014</v>
      </c>
      <c r="L10" s="828">
        <f t="shared" si="0"/>
        <v>41946</v>
      </c>
      <c r="M10" s="826">
        <v>3</v>
      </c>
      <c r="N10" s="826">
        <f>IF(N9=12,1,N9+1)</f>
        <v>11</v>
      </c>
      <c r="O10" s="826">
        <f>IF(N9=12,O9+1,O9)</f>
        <v>2014</v>
      </c>
      <c r="Q10" s="654">
        <v>24</v>
      </c>
      <c r="U10" s="821" t="s">
        <v>11</v>
      </c>
    </row>
    <row r="11" spans="1:21" ht="12.75">
      <c r="A11" s="428"/>
      <c r="B11" s="822"/>
      <c r="C11" s="823" t="s">
        <v>508</v>
      </c>
      <c r="D11" s="824"/>
      <c r="E11" s="647">
        <v>0</v>
      </c>
      <c r="F11" s="825"/>
      <c r="G11" s="428"/>
      <c r="L11" s="828">
        <f t="shared" si="0"/>
        <v>41976</v>
      </c>
      <c r="M11" s="826">
        <v>4</v>
      </c>
      <c r="N11" s="826">
        <f t="shared" ref="N11:N67" si="1">IF(N10=12,1,N10+1)</f>
        <v>12</v>
      </c>
      <c r="O11" s="826">
        <f>IF(N10=12,O10+1,O10)</f>
        <v>2014</v>
      </c>
      <c r="U11" s="821" t="s">
        <v>1</v>
      </c>
    </row>
    <row r="12" spans="1:21" ht="12.75">
      <c r="A12" s="428"/>
      <c r="B12" s="822"/>
      <c r="C12" s="823" t="s">
        <v>661</v>
      </c>
      <c r="D12" s="680"/>
      <c r="E12" s="647" t="s">
        <v>20</v>
      </c>
      <c r="F12" s="825"/>
      <c r="G12" s="428"/>
      <c r="I12" s="820"/>
      <c r="L12" s="828">
        <f t="shared" si="0"/>
        <v>42007</v>
      </c>
      <c r="M12" s="826">
        <v>5</v>
      </c>
      <c r="N12" s="826">
        <f t="shared" si="1"/>
        <v>1</v>
      </c>
      <c r="O12" s="826">
        <f t="shared" ref="O12:O67" si="2">IF(N11=12,O11+1,O11)</f>
        <v>2015</v>
      </c>
      <c r="U12" s="821" t="s">
        <v>13</v>
      </c>
    </row>
    <row r="13" spans="1:21" ht="12.75">
      <c r="A13" s="428"/>
      <c r="B13" s="822"/>
      <c r="C13" s="823" t="s">
        <v>509</v>
      </c>
      <c r="D13" s="824"/>
      <c r="E13" s="648">
        <v>134500</v>
      </c>
      <c r="F13" s="825"/>
      <c r="G13" s="428"/>
      <c r="I13" s="818" t="s">
        <v>511</v>
      </c>
      <c r="L13" s="828">
        <f t="shared" si="0"/>
        <v>42038</v>
      </c>
      <c r="M13" s="826">
        <v>6</v>
      </c>
      <c r="N13" s="826">
        <f t="shared" si="1"/>
        <v>2</v>
      </c>
      <c r="O13" s="826">
        <f t="shared" si="2"/>
        <v>2015</v>
      </c>
      <c r="U13" s="821" t="s">
        <v>15</v>
      </c>
    </row>
    <row r="14" spans="1:21" ht="12.75">
      <c r="A14" s="428"/>
      <c r="B14" s="822"/>
      <c r="C14" s="823" t="s">
        <v>663</v>
      </c>
      <c r="D14" s="680"/>
      <c r="E14" s="830" t="str">
        <f>Cotizador!D9</f>
        <v>F-250</v>
      </c>
      <c r="F14" s="825"/>
      <c r="G14" s="428"/>
      <c r="H14" s="654" t="s">
        <v>513</v>
      </c>
      <c r="I14" s="831">
        <f>VLOOKUP(I18,$L$8:$M$67,2,TRUE)-1</f>
        <v>3</v>
      </c>
      <c r="L14" s="828">
        <f t="shared" si="0"/>
        <v>42066</v>
      </c>
      <c r="M14" s="826">
        <v>7</v>
      </c>
      <c r="N14" s="826">
        <f t="shared" si="1"/>
        <v>3</v>
      </c>
      <c r="O14" s="826">
        <f t="shared" si="2"/>
        <v>2015</v>
      </c>
      <c r="U14" s="821" t="s">
        <v>104</v>
      </c>
    </row>
    <row r="15" spans="1:21" ht="12.75">
      <c r="A15" s="428"/>
      <c r="B15" s="822"/>
      <c r="C15" s="823" t="s">
        <v>510</v>
      </c>
      <c r="D15" s="824"/>
      <c r="E15" s="830">
        <f>Cotizador!D17</f>
        <v>184100</v>
      </c>
      <c r="F15" s="825"/>
      <c r="G15" s="428"/>
      <c r="H15" s="654" t="s">
        <v>434</v>
      </c>
      <c r="I15" s="826">
        <v>3</v>
      </c>
      <c r="L15" s="828">
        <f t="shared" si="0"/>
        <v>42097</v>
      </c>
      <c r="M15" s="826">
        <v>8</v>
      </c>
      <c r="N15" s="826">
        <f t="shared" si="1"/>
        <v>4</v>
      </c>
      <c r="O15" s="826">
        <f t="shared" si="2"/>
        <v>2015</v>
      </c>
      <c r="U15" s="821" t="s">
        <v>20</v>
      </c>
    </row>
    <row r="16" spans="1:21" ht="15.75" customHeight="1" thickBot="1">
      <c r="A16" s="428"/>
      <c r="B16" s="822"/>
      <c r="C16" s="823" t="s">
        <v>512</v>
      </c>
      <c r="D16" s="824"/>
      <c r="E16" s="649">
        <v>5662.56</v>
      </c>
      <c r="F16" s="825"/>
      <c r="G16" s="428"/>
      <c r="H16" s="654" t="s">
        <v>435</v>
      </c>
      <c r="I16" s="826">
        <f>IF(DAY(E10)&gt;15,MONTH(E10)+1,MONTH(E10))</f>
        <v>12</v>
      </c>
      <c r="L16" s="828">
        <f t="shared" si="0"/>
        <v>42127</v>
      </c>
      <c r="M16" s="826">
        <v>9</v>
      </c>
      <c r="N16" s="826">
        <f t="shared" si="1"/>
        <v>5</v>
      </c>
      <c r="O16" s="826">
        <f t="shared" si="2"/>
        <v>2015</v>
      </c>
      <c r="U16" s="832" t="s">
        <v>155</v>
      </c>
    </row>
    <row r="17" spans="1:21" ht="14.25" thickTop="1" thickBot="1">
      <c r="A17" s="428"/>
      <c r="B17" s="822"/>
      <c r="C17" s="823"/>
      <c r="D17" s="824"/>
      <c r="E17" s="833"/>
      <c r="F17" s="825"/>
      <c r="G17" s="428"/>
      <c r="H17" s="654" t="s">
        <v>436</v>
      </c>
      <c r="I17" s="826">
        <f>YEAR(E10)</f>
        <v>2014</v>
      </c>
      <c r="L17" s="828">
        <f t="shared" si="0"/>
        <v>42158</v>
      </c>
      <c r="M17" s="826">
        <v>10</v>
      </c>
      <c r="N17" s="826">
        <f t="shared" si="1"/>
        <v>6</v>
      </c>
      <c r="O17" s="826">
        <f t="shared" si="2"/>
        <v>2015</v>
      </c>
      <c r="U17" s="832" t="s">
        <v>154</v>
      </c>
    </row>
    <row r="18" spans="1:21" ht="21" customHeight="1" thickTop="1" thickBot="1">
      <c r="A18" s="428"/>
      <c r="B18" s="822"/>
      <c r="C18" s="834" t="s">
        <v>515</v>
      </c>
      <c r="D18" s="824"/>
      <c r="E18" s="644">
        <f>E8-I14-E11-I22-J19</f>
        <v>57</v>
      </c>
      <c r="F18" s="825"/>
      <c r="G18" s="428"/>
      <c r="I18" s="828">
        <f>(I15&amp;-I16&amp;-I17)*1</f>
        <v>41976</v>
      </c>
      <c r="L18" s="828">
        <f t="shared" si="0"/>
        <v>42188</v>
      </c>
      <c r="M18" s="826">
        <v>11</v>
      </c>
      <c r="N18" s="826">
        <f t="shared" si="1"/>
        <v>7</v>
      </c>
      <c r="O18" s="826">
        <f t="shared" si="2"/>
        <v>2015</v>
      </c>
      <c r="U18" s="832" t="s">
        <v>151</v>
      </c>
    </row>
    <row r="19" spans="1:21" ht="14.25" thickTop="1" thickBot="1">
      <c r="A19" s="428"/>
      <c r="B19" s="822"/>
      <c r="C19" s="823" t="s">
        <v>516</v>
      </c>
      <c r="D19" s="824"/>
      <c r="E19" s="650">
        <f>(3&amp;-(VLOOKUP(I26,$M$8:$N$67,2,FALSE))&amp;-(VLOOKUP(I26,$M$8:$O$67,3,FALSE)))*1</f>
        <v>43680</v>
      </c>
      <c r="F19" s="825"/>
      <c r="G19" s="428"/>
      <c r="H19" s="823" t="s">
        <v>514</v>
      </c>
      <c r="I19" s="824"/>
      <c r="J19" s="815">
        <v>0</v>
      </c>
      <c r="K19" s="825"/>
      <c r="L19" s="828">
        <f t="shared" si="0"/>
        <v>42219</v>
      </c>
      <c r="M19" s="826">
        <v>12</v>
      </c>
      <c r="N19" s="826">
        <f t="shared" si="1"/>
        <v>8</v>
      </c>
      <c r="O19" s="826">
        <f t="shared" si="2"/>
        <v>2015</v>
      </c>
      <c r="U19" s="821" t="s">
        <v>7</v>
      </c>
    </row>
    <row r="20" spans="1:21" ht="14.25" thickTop="1" thickBot="1">
      <c r="A20" s="428"/>
      <c r="B20" s="835"/>
      <c r="C20" s="836"/>
      <c r="D20" s="836"/>
      <c r="E20" s="836"/>
      <c r="F20" s="837"/>
      <c r="G20" s="428"/>
      <c r="L20" s="828">
        <f t="shared" si="0"/>
        <v>42250</v>
      </c>
      <c r="M20" s="826">
        <v>13</v>
      </c>
      <c r="N20" s="826">
        <f t="shared" si="1"/>
        <v>9</v>
      </c>
      <c r="O20" s="826">
        <f t="shared" si="2"/>
        <v>2015</v>
      </c>
      <c r="U20" s="821" t="s">
        <v>50</v>
      </c>
    </row>
    <row r="21" spans="1:21" ht="13.5" thickBot="1">
      <c r="A21" s="428"/>
      <c r="B21" s="428"/>
      <c r="C21" s="428"/>
      <c r="D21" s="428"/>
      <c r="E21" s="428"/>
      <c r="F21" s="428"/>
      <c r="G21" s="428"/>
      <c r="I21" s="838" t="s">
        <v>517</v>
      </c>
      <c r="L21" s="828">
        <f t="shared" si="0"/>
        <v>42280</v>
      </c>
      <c r="M21" s="826">
        <v>14</v>
      </c>
      <c r="N21" s="826">
        <f t="shared" si="1"/>
        <v>10</v>
      </c>
      <c r="O21" s="826">
        <f t="shared" si="2"/>
        <v>2015</v>
      </c>
      <c r="U21" s="821" t="s">
        <v>42</v>
      </c>
    </row>
    <row r="22" spans="1:21" ht="12.75">
      <c r="A22" s="428"/>
      <c r="B22" s="1089" t="s">
        <v>656</v>
      </c>
      <c r="C22" s="1090"/>
      <c r="D22" s="1090"/>
      <c r="E22" s="1090"/>
      <c r="F22" s="1090"/>
      <c r="G22" s="428"/>
      <c r="I22" s="831">
        <f>IF(E13-E15&lt;0,0,INT((E13-E15)/E16))</f>
        <v>0</v>
      </c>
      <c r="L22" s="828">
        <f t="shared" si="0"/>
        <v>42311</v>
      </c>
      <c r="M22" s="826">
        <v>15</v>
      </c>
      <c r="N22" s="826">
        <f>IF(N21=12,1,N21+1)</f>
        <v>11</v>
      </c>
      <c r="O22" s="826">
        <f>IF(N21=12,O21+1,O21)</f>
        <v>2015</v>
      </c>
      <c r="U22" s="821" t="s">
        <v>44</v>
      </c>
    </row>
    <row r="23" spans="1:21" ht="12.75">
      <c r="A23" s="428"/>
      <c r="B23" s="1091"/>
      <c r="C23" s="1092"/>
      <c r="D23" s="1092"/>
      <c r="E23" s="1092"/>
      <c r="F23" s="1092"/>
      <c r="G23" s="428"/>
      <c r="L23" s="828">
        <f t="shared" si="0"/>
        <v>42341</v>
      </c>
      <c r="M23" s="826">
        <v>16</v>
      </c>
      <c r="N23" s="826">
        <f t="shared" si="1"/>
        <v>12</v>
      </c>
      <c r="O23" s="826">
        <f t="shared" si="2"/>
        <v>2015</v>
      </c>
      <c r="U23" s="821" t="s">
        <v>46</v>
      </c>
    </row>
    <row r="24" spans="1:21" ht="19.5" customHeight="1" thickBot="1">
      <c r="A24" s="428"/>
      <c r="B24" s="1093"/>
      <c r="C24" s="1094"/>
      <c r="D24" s="1094"/>
      <c r="E24" s="1094"/>
      <c r="F24" s="1094"/>
      <c r="G24" s="428"/>
      <c r="L24" s="828">
        <f t="shared" si="0"/>
        <v>42372</v>
      </c>
      <c r="M24" s="826">
        <v>17</v>
      </c>
      <c r="N24" s="826">
        <f t="shared" si="1"/>
        <v>1</v>
      </c>
      <c r="O24" s="826">
        <f t="shared" si="2"/>
        <v>2016</v>
      </c>
      <c r="U24" s="821" t="s">
        <v>52</v>
      </c>
    </row>
    <row r="25" spans="1:21" ht="15" customHeight="1" thickBot="1">
      <c r="A25" s="428"/>
      <c r="B25" s="428"/>
      <c r="C25" s="428"/>
      <c r="D25" s="428"/>
      <c r="E25" s="428"/>
      <c r="F25" s="428"/>
      <c r="G25" s="428"/>
      <c r="I25" s="838" t="s">
        <v>518</v>
      </c>
      <c r="L25" s="828">
        <f t="shared" si="0"/>
        <v>42403</v>
      </c>
      <c r="M25" s="826">
        <v>18</v>
      </c>
      <c r="N25" s="826">
        <f t="shared" si="1"/>
        <v>2</v>
      </c>
      <c r="O25" s="826">
        <f t="shared" si="2"/>
        <v>2016</v>
      </c>
      <c r="U25" s="821" t="s">
        <v>107</v>
      </c>
    </row>
    <row r="26" spans="1:21" ht="13.5" thickBot="1">
      <c r="A26" s="428"/>
      <c r="B26" s="819"/>
      <c r="C26" s="672"/>
      <c r="D26" s="672"/>
      <c r="E26" s="672"/>
      <c r="F26" s="674"/>
      <c r="G26" s="428"/>
      <c r="I26" s="826">
        <f>E8-E11-I22</f>
        <v>60</v>
      </c>
      <c r="L26" s="828">
        <f t="shared" si="0"/>
        <v>42432</v>
      </c>
      <c r="M26" s="826">
        <v>19</v>
      </c>
      <c r="N26" s="826">
        <f t="shared" si="1"/>
        <v>3</v>
      </c>
      <c r="O26" s="826">
        <f t="shared" si="2"/>
        <v>2016</v>
      </c>
      <c r="U26" s="821" t="s">
        <v>55</v>
      </c>
    </row>
    <row r="27" spans="1:21" ht="13.5" thickTop="1">
      <c r="A27" s="428"/>
      <c r="B27" s="822"/>
      <c r="C27" s="1097" t="s">
        <v>662</v>
      </c>
      <c r="D27" s="839"/>
      <c r="E27" s="1095">
        <f>J37</f>
        <v>1640</v>
      </c>
      <c r="F27" s="679"/>
      <c r="G27" s="428"/>
      <c r="L27" s="828">
        <f t="shared" si="0"/>
        <v>42463</v>
      </c>
      <c r="M27" s="826">
        <v>20</v>
      </c>
      <c r="N27" s="826">
        <f t="shared" si="1"/>
        <v>4</v>
      </c>
      <c r="O27" s="826">
        <f t="shared" si="2"/>
        <v>2016</v>
      </c>
      <c r="U27" s="821" t="s">
        <v>150</v>
      </c>
    </row>
    <row r="28" spans="1:21" ht="13.5" thickBot="1">
      <c r="A28" s="428"/>
      <c r="B28" s="822"/>
      <c r="C28" s="1098"/>
      <c r="D28" s="840"/>
      <c r="E28" s="1096"/>
      <c r="F28" s="679"/>
      <c r="G28" s="428"/>
      <c r="L28" s="828">
        <f t="shared" si="0"/>
        <v>42493</v>
      </c>
      <c r="M28" s="826">
        <v>21</v>
      </c>
      <c r="N28" s="826">
        <f t="shared" si="1"/>
        <v>5</v>
      </c>
      <c r="O28" s="826">
        <f t="shared" si="2"/>
        <v>2016</v>
      </c>
      <c r="U28" s="821" t="s">
        <v>112</v>
      </c>
    </row>
    <row r="29" spans="1:21" ht="14.25" thickTop="1" thickBot="1">
      <c r="A29" s="428"/>
      <c r="B29" s="835"/>
      <c r="C29" s="697"/>
      <c r="D29" s="697"/>
      <c r="E29" s="697"/>
      <c r="F29" s="698"/>
      <c r="G29" s="428"/>
      <c r="J29" s="841"/>
      <c r="L29" s="828">
        <f t="shared" si="0"/>
        <v>42524</v>
      </c>
      <c r="M29" s="826">
        <v>22</v>
      </c>
      <c r="N29" s="826">
        <f t="shared" si="1"/>
        <v>6</v>
      </c>
      <c r="O29" s="826">
        <f t="shared" si="2"/>
        <v>2016</v>
      </c>
      <c r="U29" s="821" t="s">
        <v>111</v>
      </c>
    </row>
    <row r="30" spans="1:21" ht="12.75">
      <c r="A30" s="428"/>
      <c r="B30" s="428"/>
      <c r="C30" s="428"/>
      <c r="D30" s="428"/>
      <c r="E30" s="428"/>
      <c r="F30" s="428"/>
      <c r="G30" s="428"/>
      <c r="H30" s="842" t="s">
        <v>660</v>
      </c>
      <c r="I30" s="842"/>
      <c r="J30" s="843">
        <f>E13</f>
        <v>134500</v>
      </c>
      <c r="L30" s="828">
        <f t="shared" si="0"/>
        <v>42554</v>
      </c>
      <c r="M30" s="826">
        <v>23</v>
      </c>
      <c r="N30" s="826">
        <f t="shared" si="1"/>
        <v>7</v>
      </c>
      <c r="O30" s="826">
        <f t="shared" si="2"/>
        <v>2016</v>
      </c>
    </row>
    <row r="31" spans="1:21" ht="12.75">
      <c r="A31" s="428"/>
      <c r="B31" s="428"/>
      <c r="C31" s="428"/>
      <c r="D31" s="428"/>
      <c r="E31" s="428"/>
      <c r="F31" s="428"/>
      <c r="G31" s="428"/>
      <c r="H31" s="842" t="s">
        <v>658</v>
      </c>
      <c r="I31" s="842"/>
      <c r="J31" s="843">
        <f>Cotizador!Q12</f>
        <v>9894.7303999999986</v>
      </c>
      <c r="L31" s="828">
        <f t="shared" si="0"/>
        <v>42585</v>
      </c>
      <c r="M31" s="826">
        <v>24</v>
      </c>
      <c r="N31" s="826">
        <f t="shared" si="1"/>
        <v>8</v>
      </c>
      <c r="O31" s="826">
        <f t="shared" si="2"/>
        <v>2016</v>
      </c>
    </row>
    <row r="32" spans="1:21" ht="12.75">
      <c r="A32" s="428"/>
      <c r="B32" s="428"/>
      <c r="C32" s="428"/>
      <c r="D32" s="428"/>
      <c r="E32" s="428"/>
      <c r="F32" s="428"/>
      <c r="G32" s="428"/>
      <c r="H32" s="842" t="s">
        <v>657</v>
      </c>
      <c r="I32" s="842"/>
      <c r="J32" s="843">
        <f>'Cálculo Mens. y dif. seguro'!H50</f>
        <v>8255.14</v>
      </c>
      <c r="L32" s="828">
        <f t="shared" si="0"/>
        <v>42616</v>
      </c>
      <c r="M32" s="826">
        <v>25</v>
      </c>
      <c r="N32" s="826">
        <f t="shared" si="1"/>
        <v>9</v>
      </c>
      <c r="O32" s="826">
        <f t="shared" si="2"/>
        <v>2016</v>
      </c>
    </row>
    <row r="33" spans="1:15" ht="12.75">
      <c r="A33" s="428"/>
      <c r="B33" s="428"/>
      <c r="C33" s="428"/>
      <c r="D33" s="428"/>
      <c r="E33" s="428"/>
      <c r="F33" s="428"/>
      <c r="G33" s="428"/>
      <c r="H33" s="842"/>
      <c r="I33" s="842"/>
      <c r="J33" s="843"/>
      <c r="L33" s="828">
        <f t="shared" si="0"/>
        <v>42646</v>
      </c>
      <c r="M33" s="826">
        <v>26</v>
      </c>
      <c r="N33" s="826">
        <f t="shared" si="1"/>
        <v>10</v>
      </c>
      <c r="O33" s="826">
        <f t="shared" si="2"/>
        <v>2016</v>
      </c>
    </row>
    <row r="34" spans="1:15" ht="12.75" hidden="1">
      <c r="H34" s="842"/>
      <c r="I34" s="842"/>
      <c r="J34" s="844">
        <f>J31-J32</f>
        <v>1639.5903999999991</v>
      </c>
      <c r="L34" s="828">
        <f t="shared" si="0"/>
        <v>42677</v>
      </c>
      <c r="M34" s="826">
        <v>27</v>
      </c>
      <c r="N34" s="826">
        <f t="shared" si="1"/>
        <v>11</v>
      </c>
      <c r="O34" s="826">
        <f t="shared" si="2"/>
        <v>2016</v>
      </c>
    </row>
    <row r="35" spans="1:15" ht="12.75" hidden="1">
      <c r="H35" s="842" t="s">
        <v>659</v>
      </c>
      <c r="I35" s="842"/>
      <c r="J35" s="843">
        <v>600</v>
      </c>
      <c r="L35" s="828">
        <f t="shared" si="0"/>
        <v>42707</v>
      </c>
      <c r="M35" s="826">
        <v>28</v>
      </c>
      <c r="N35" s="826">
        <f t="shared" si="1"/>
        <v>12</v>
      </c>
      <c r="O35" s="826">
        <f t="shared" si="2"/>
        <v>2016</v>
      </c>
    </row>
    <row r="36" spans="1:15" ht="12.75" hidden="1">
      <c r="H36" s="842"/>
      <c r="I36" s="842"/>
      <c r="J36" s="843"/>
      <c r="L36" s="828">
        <f t="shared" si="0"/>
        <v>42738</v>
      </c>
      <c r="M36" s="826">
        <v>29</v>
      </c>
      <c r="N36" s="826">
        <f t="shared" si="1"/>
        <v>1</v>
      </c>
      <c r="O36" s="826">
        <f t="shared" si="2"/>
        <v>2017</v>
      </c>
    </row>
    <row r="37" spans="1:15" ht="12.75" hidden="1">
      <c r="I37" s="842"/>
      <c r="J37" s="844">
        <f>IF(J34&gt;J35,ROUND(J34,0),"Sin Diferencia")</f>
        <v>1640</v>
      </c>
      <c r="L37" s="828">
        <f t="shared" si="0"/>
        <v>42769</v>
      </c>
      <c r="M37" s="826">
        <v>30</v>
      </c>
      <c r="N37" s="826">
        <f t="shared" si="1"/>
        <v>2</v>
      </c>
      <c r="O37" s="826">
        <f t="shared" si="2"/>
        <v>2017</v>
      </c>
    </row>
    <row r="38" spans="1:15" ht="12.75" hidden="1">
      <c r="L38" s="828">
        <f t="shared" si="0"/>
        <v>42797</v>
      </c>
      <c r="M38" s="826">
        <v>31</v>
      </c>
      <c r="N38" s="826">
        <f t="shared" si="1"/>
        <v>3</v>
      </c>
      <c r="O38" s="826">
        <f t="shared" si="2"/>
        <v>2017</v>
      </c>
    </row>
    <row r="39" spans="1:15" ht="12.75" hidden="1">
      <c r="B39" s="849"/>
      <c r="C39" s="849"/>
      <c r="D39" s="849"/>
      <c r="E39" s="849"/>
      <c r="F39" s="849"/>
      <c r="G39" s="849"/>
      <c r="H39" s="849"/>
      <c r="I39" s="849"/>
      <c r="J39" s="849"/>
      <c r="L39" s="828">
        <f t="shared" si="0"/>
        <v>42828</v>
      </c>
      <c r="M39" s="826">
        <v>32</v>
      </c>
      <c r="N39" s="826">
        <f t="shared" si="1"/>
        <v>4</v>
      </c>
      <c r="O39" s="826">
        <f t="shared" si="2"/>
        <v>2017</v>
      </c>
    </row>
    <row r="40" spans="1:15" ht="12.75" hidden="1">
      <c r="B40" s="849"/>
      <c r="C40" s="1088" t="s">
        <v>667</v>
      </c>
      <c r="D40" s="1088"/>
      <c r="E40" s="1088"/>
      <c r="F40" s="1088"/>
      <c r="G40" s="849"/>
      <c r="H40" s="849"/>
      <c r="I40" s="849"/>
      <c r="J40" s="849"/>
      <c r="L40" s="828">
        <f t="shared" si="0"/>
        <v>42858</v>
      </c>
      <c r="M40" s="826">
        <v>33</v>
      </c>
      <c r="N40" s="826">
        <f t="shared" si="1"/>
        <v>5</v>
      </c>
      <c r="O40" s="826">
        <f t="shared" si="2"/>
        <v>2017</v>
      </c>
    </row>
    <row r="41" spans="1:15" ht="12.75" hidden="1">
      <c r="B41" s="849"/>
      <c r="C41" s="849"/>
      <c r="D41" s="849"/>
      <c r="E41" s="849"/>
      <c r="F41" s="849"/>
      <c r="G41" s="849"/>
      <c r="H41" s="849"/>
      <c r="I41" s="849"/>
      <c r="J41" s="849"/>
      <c r="L41" s="828">
        <f t="shared" si="0"/>
        <v>42889</v>
      </c>
      <c r="M41" s="826">
        <v>34</v>
      </c>
      <c r="N41" s="826">
        <f t="shared" si="1"/>
        <v>6</v>
      </c>
      <c r="O41" s="826">
        <f t="shared" si="2"/>
        <v>2017</v>
      </c>
    </row>
    <row r="42" spans="1:15" ht="12.75" hidden="1">
      <c r="B42" s="849"/>
      <c r="C42" s="651" t="str">
        <f>'Cálculo Mens. y dif. seguro'!$E$12</f>
        <v>IKON</v>
      </c>
      <c r="D42" s="849"/>
      <c r="E42" s="849"/>
      <c r="F42" s="849"/>
      <c r="G42" s="849"/>
      <c r="H42" s="850"/>
      <c r="I42" s="850"/>
      <c r="J42" s="849"/>
      <c r="L42" s="828">
        <f t="shared" si="0"/>
        <v>42919</v>
      </c>
      <c r="M42" s="826">
        <v>35</v>
      </c>
      <c r="N42" s="826">
        <f t="shared" si="1"/>
        <v>7</v>
      </c>
      <c r="O42" s="826">
        <f t="shared" si="2"/>
        <v>2017</v>
      </c>
    </row>
    <row r="43" spans="1:15" ht="12.75" hidden="1">
      <c r="B43" s="849"/>
      <c r="C43" s="849"/>
      <c r="D43" s="849"/>
      <c r="E43" s="849"/>
      <c r="F43" s="849"/>
      <c r="G43" s="849"/>
      <c r="H43" s="866" t="s">
        <v>120</v>
      </c>
      <c r="I43" s="866"/>
      <c r="J43" s="849"/>
      <c r="L43" s="828">
        <f t="shared" si="0"/>
        <v>42950</v>
      </c>
      <c r="M43" s="826">
        <v>36</v>
      </c>
      <c r="N43" s="826">
        <f t="shared" si="1"/>
        <v>8</v>
      </c>
      <c r="O43" s="826">
        <f t="shared" si="2"/>
        <v>2017</v>
      </c>
    </row>
    <row r="44" spans="1:15" ht="12.75" hidden="1">
      <c r="B44" s="849"/>
      <c r="C44" s="652">
        <f>'Cálculo Mens. y dif. seguro'!J30</f>
        <v>134500</v>
      </c>
      <c r="D44" s="849"/>
      <c r="E44" s="849"/>
      <c r="F44" s="849"/>
      <c r="G44" s="849"/>
      <c r="H44" s="738">
        <f>'Cotizador AXA Un año'!$X$52</f>
        <v>8255.14</v>
      </c>
      <c r="I44" s="735" t="s">
        <v>140</v>
      </c>
      <c r="J44" s="849"/>
      <c r="L44" s="828">
        <f t="shared" si="0"/>
        <v>42981</v>
      </c>
      <c r="M44" s="826">
        <v>37</v>
      </c>
      <c r="N44" s="826">
        <f t="shared" si="1"/>
        <v>9</v>
      </c>
      <c r="O44" s="826">
        <f t="shared" si="2"/>
        <v>2017</v>
      </c>
    </row>
    <row r="45" spans="1:15" ht="12.75" hidden="1">
      <c r="B45" s="849"/>
      <c r="C45" s="849"/>
      <c r="D45" s="849"/>
      <c r="E45" s="849"/>
      <c r="F45" s="849"/>
      <c r="G45" s="849"/>
      <c r="H45" s="739">
        <f>'Cotizador GNP p1 13'!$U$41</f>
        <v>9550.8367999999991</v>
      </c>
      <c r="I45" s="736" t="s">
        <v>145</v>
      </c>
      <c r="J45" s="849"/>
      <c r="L45" s="828">
        <f t="shared" si="0"/>
        <v>43011</v>
      </c>
      <c r="M45" s="826">
        <v>38</v>
      </c>
      <c r="N45" s="826">
        <f t="shared" si="1"/>
        <v>10</v>
      </c>
      <c r="O45" s="826">
        <f t="shared" si="2"/>
        <v>2017</v>
      </c>
    </row>
    <row r="46" spans="1:15" ht="12.75" hidden="1">
      <c r="B46" s="849"/>
      <c r="C46" s="849"/>
      <c r="D46" s="849"/>
      <c r="E46" s="849"/>
      <c r="F46" s="849"/>
      <c r="G46" s="849"/>
      <c r="H46" s="740">
        <f>'Cotizador QT'!$X$39</f>
        <v>9423.6196</v>
      </c>
      <c r="I46" s="737" t="s">
        <v>289</v>
      </c>
      <c r="J46" s="849"/>
      <c r="L46" s="828">
        <f t="shared" si="0"/>
        <v>43042</v>
      </c>
      <c r="M46" s="826">
        <v>39</v>
      </c>
      <c r="N46" s="826">
        <f t="shared" si="1"/>
        <v>11</v>
      </c>
      <c r="O46" s="826">
        <f t="shared" si="2"/>
        <v>2017</v>
      </c>
    </row>
    <row r="47" spans="1:15" ht="12.75" hidden="1">
      <c r="B47" s="849"/>
      <c r="C47" s="849"/>
      <c r="D47" s="849"/>
      <c r="E47" s="849"/>
      <c r="F47" s="849"/>
      <c r="G47" s="849"/>
      <c r="H47" s="850"/>
      <c r="I47" s="850"/>
      <c r="J47" s="849"/>
      <c r="L47" s="828">
        <f t="shared" si="0"/>
        <v>43072</v>
      </c>
      <c r="M47" s="826">
        <v>40</v>
      </c>
      <c r="N47" s="826">
        <f t="shared" si="1"/>
        <v>12</v>
      </c>
      <c r="O47" s="826">
        <f t="shared" si="2"/>
        <v>2017</v>
      </c>
    </row>
    <row r="48" spans="1:15" ht="12.75" hidden="1">
      <c r="B48" s="849"/>
      <c r="C48" s="849"/>
      <c r="D48" s="849"/>
      <c r="E48" s="849"/>
      <c r="F48" s="849"/>
      <c r="G48" s="849"/>
      <c r="H48" s="850"/>
      <c r="I48" s="850"/>
      <c r="J48" s="849"/>
      <c r="L48" s="828">
        <f t="shared" si="0"/>
        <v>43103</v>
      </c>
      <c r="M48" s="826">
        <v>41</v>
      </c>
      <c r="N48" s="826">
        <f t="shared" si="1"/>
        <v>1</v>
      </c>
      <c r="O48" s="826">
        <f t="shared" si="2"/>
        <v>2018</v>
      </c>
    </row>
    <row r="49" spans="2:15" ht="12.75" hidden="1">
      <c r="B49" s="849"/>
      <c r="C49" s="849"/>
      <c r="D49" s="849"/>
      <c r="E49" s="849"/>
      <c r="F49" s="849"/>
      <c r="G49" s="849"/>
      <c r="H49" s="866" t="s">
        <v>195</v>
      </c>
      <c r="I49" s="866"/>
      <c r="J49" s="849"/>
      <c r="L49" s="828">
        <f t="shared" si="0"/>
        <v>43134</v>
      </c>
      <c r="M49" s="826">
        <v>42</v>
      </c>
      <c r="N49" s="826">
        <f t="shared" si="1"/>
        <v>2</v>
      </c>
      <c r="O49" s="826">
        <f t="shared" si="2"/>
        <v>2018</v>
      </c>
    </row>
    <row r="50" spans="2:15" ht="12.75" hidden="1">
      <c r="B50" s="849"/>
      <c r="C50" s="849"/>
      <c r="D50" s="849"/>
      <c r="E50" s="849"/>
      <c r="F50" s="849"/>
      <c r="G50" s="849"/>
      <c r="H50" s="372">
        <f>MIN(H44:H46)</f>
        <v>8255.14</v>
      </c>
      <c r="I50" s="373" t="str">
        <f>VLOOKUP(H50,H44:I46,2,FALSE)</f>
        <v>AXA</v>
      </c>
      <c r="J50" s="849"/>
      <c r="L50" s="828">
        <f t="shared" si="0"/>
        <v>43162</v>
      </c>
      <c r="M50" s="826">
        <v>43</v>
      </c>
      <c r="N50" s="826">
        <f t="shared" si="1"/>
        <v>3</v>
      </c>
      <c r="O50" s="826">
        <f t="shared" si="2"/>
        <v>2018</v>
      </c>
    </row>
    <row r="51" spans="2:15" ht="12.75" hidden="1">
      <c r="B51" s="849"/>
      <c r="C51" s="849"/>
      <c r="D51" s="849"/>
      <c r="E51" s="849"/>
      <c r="F51" s="849"/>
      <c r="G51" s="849"/>
      <c r="H51" s="850"/>
      <c r="I51" s="850"/>
      <c r="J51" s="849"/>
      <c r="L51" s="828">
        <f t="shared" si="0"/>
        <v>43193</v>
      </c>
      <c r="M51" s="826">
        <v>44</v>
      </c>
      <c r="N51" s="826">
        <f t="shared" si="1"/>
        <v>4</v>
      </c>
      <c r="O51" s="826">
        <f t="shared" si="2"/>
        <v>2018</v>
      </c>
    </row>
    <row r="52" spans="2:15" ht="12.75" hidden="1">
      <c r="B52" s="849"/>
      <c r="C52" s="849"/>
      <c r="D52" s="849"/>
      <c r="E52" s="849"/>
      <c r="F52" s="849"/>
      <c r="G52" s="849"/>
      <c r="H52" s="849"/>
      <c r="I52" s="849"/>
      <c r="J52" s="849"/>
      <c r="L52" s="828">
        <f t="shared" si="0"/>
        <v>43223</v>
      </c>
      <c r="M52" s="826">
        <v>45</v>
      </c>
      <c r="N52" s="826">
        <f t="shared" si="1"/>
        <v>5</v>
      </c>
      <c r="O52" s="826">
        <f t="shared" si="2"/>
        <v>2018</v>
      </c>
    </row>
    <row r="53" spans="2:15" ht="12.75" hidden="1">
      <c r="L53" s="828">
        <f t="shared" si="0"/>
        <v>43254</v>
      </c>
      <c r="M53" s="826">
        <v>46</v>
      </c>
      <c r="N53" s="826">
        <f t="shared" si="1"/>
        <v>6</v>
      </c>
      <c r="O53" s="826">
        <f t="shared" si="2"/>
        <v>2018</v>
      </c>
    </row>
    <row r="54" spans="2:15" ht="12.75" hidden="1">
      <c r="L54" s="828">
        <f t="shared" si="0"/>
        <v>43284</v>
      </c>
      <c r="M54" s="826">
        <v>47</v>
      </c>
      <c r="N54" s="826">
        <f t="shared" si="1"/>
        <v>7</v>
      </c>
      <c r="O54" s="826">
        <f t="shared" si="2"/>
        <v>2018</v>
      </c>
    </row>
    <row r="55" spans="2:15" ht="12.75" hidden="1">
      <c r="L55" s="828">
        <f t="shared" si="0"/>
        <v>43315</v>
      </c>
      <c r="M55" s="826">
        <v>48</v>
      </c>
      <c r="N55" s="826">
        <f t="shared" si="1"/>
        <v>8</v>
      </c>
      <c r="O55" s="826">
        <f t="shared" si="2"/>
        <v>2018</v>
      </c>
    </row>
    <row r="56" spans="2:15" ht="12.75" hidden="1">
      <c r="L56" s="828">
        <f t="shared" si="0"/>
        <v>43346</v>
      </c>
      <c r="M56" s="826">
        <v>49</v>
      </c>
      <c r="N56" s="826">
        <f t="shared" si="1"/>
        <v>9</v>
      </c>
      <c r="O56" s="826">
        <f t="shared" si="2"/>
        <v>2018</v>
      </c>
    </row>
    <row r="57" spans="2:15" ht="12.75" hidden="1">
      <c r="L57" s="828">
        <f t="shared" si="0"/>
        <v>43376</v>
      </c>
      <c r="M57" s="826">
        <v>50</v>
      </c>
      <c r="N57" s="826">
        <f t="shared" si="1"/>
        <v>10</v>
      </c>
      <c r="O57" s="826">
        <f t="shared" si="2"/>
        <v>2018</v>
      </c>
    </row>
    <row r="58" spans="2:15" ht="12.75" hidden="1">
      <c r="L58" s="828">
        <f t="shared" si="0"/>
        <v>43407</v>
      </c>
      <c r="M58" s="826">
        <v>51</v>
      </c>
      <c r="N58" s="826">
        <f t="shared" si="1"/>
        <v>11</v>
      </c>
      <c r="O58" s="826">
        <f t="shared" si="2"/>
        <v>2018</v>
      </c>
    </row>
    <row r="59" spans="2:15" ht="12.75" hidden="1">
      <c r="L59" s="828">
        <f t="shared" si="0"/>
        <v>43437</v>
      </c>
      <c r="M59" s="826">
        <v>52</v>
      </c>
      <c r="N59" s="826">
        <f t="shared" si="1"/>
        <v>12</v>
      </c>
      <c r="O59" s="826">
        <f t="shared" si="2"/>
        <v>2018</v>
      </c>
    </row>
    <row r="60" spans="2:15" ht="12.75" hidden="1">
      <c r="L60" s="828">
        <f t="shared" si="0"/>
        <v>43468</v>
      </c>
      <c r="M60" s="826">
        <v>53</v>
      </c>
      <c r="N60" s="826">
        <f t="shared" si="1"/>
        <v>1</v>
      </c>
      <c r="O60" s="826">
        <f t="shared" si="2"/>
        <v>2019</v>
      </c>
    </row>
    <row r="61" spans="2:15" ht="12.75" hidden="1">
      <c r="L61" s="828">
        <f t="shared" si="0"/>
        <v>43499</v>
      </c>
      <c r="M61" s="826">
        <v>54</v>
      </c>
      <c r="N61" s="826">
        <f t="shared" si="1"/>
        <v>2</v>
      </c>
      <c r="O61" s="826">
        <f t="shared" si="2"/>
        <v>2019</v>
      </c>
    </row>
    <row r="62" spans="2:15" ht="12.75" hidden="1">
      <c r="L62" s="828">
        <f t="shared" si="0"/>
        <v>43527</v>
      </c>
      <c r="M62" s="826">
        <v>55</v>
      </c>
      <c r="N62" s="826">
        <f t="shared" si="1"/>
        <v>3</v>
      </c>
      <c r="O62" s="826">
        <f t="shared" si="2"/>
        <v>2019</v>
      </c>
    </row>
    <row r="63" spans="2:15" ht="12.75" hidden="1">
      <c r="L63" s="828">
        <f t="shared" si="0"/>
        <v>43558</v>
      </c>
      <c r="M63" s="826">
        <v>56</v>
      </c>
      <c r="N63" s="826">
        <f t="shared" si="1"/>
        <v>4</v>
      </c>
      <c r="O63" s="826">
        <f t="shared" si="2"/>
        <v>2019</v>
      </c>
    </row>
    <row r="64" spans="2:15" ht="12.75" hidden="1">
      <c r="L64" s="828">
        <f t="shared" si="0"/>
        <v>43588</v>
      </c>
      <c r="M64" s="826">
        <v>57</v>
      </c>
      <c r="N64" s="826">
        <f t="shared" si="1"/>
        <v>5</v>
      </c>
      <c r="O64" s="826">
        <f t="shared" si="2"/>
        <v>2019</v>
      </c>
    </row>
    <row r="65" spans="12:15" ht="12.75" hidden="1">
      <c r="L65" s="828">
        <f t="shared" si="0"/>
        <v>43619</v>
      </c>
      <c r="M65" s="826">
        <v>58</v>
      </c>
      <c r="N65" s="826">
        <f t="shared" si="1"/>
        <v>6</v>
      </c>
      <c r="O65" s="826">
        <f t="shared" si="2"/>
        <v>2019</v>
      </c>
    </row>
    <row r="66" spans="12:15" ht="12.75" hidden="1">
      <c r="L66" s="828">
        <f t="shared" si="0"/>
        <v>43649</v>
      </c>
      <c r="M66" s="826">
        <v>59</v>
      </c>
      <c r="N66" s="826">
        <f t="shared" si="1"/>
        <v>7</v>
      </c>
      <c r="O66" s="826">
        <f t="shared" si="2"/>
        <v>2019</v>
      </c>
    </row>
    <row r="67" spans="12:15" ht="12.75" hidden="1">
      <c r="L67" s="828">
        <f t="shared" si="0"/>
        <v>43680</v>
      </c>
      <c r="M67" s="826">
        <v>60</v>
      </c>
      <c r="N67" s="826">
        <f t="shared" si="1"/>
        <v>8</v>
      </c>
      <c r="O67" s="826">
        <f t="shared" si="2"/>
        <v>2019</v>
      </c>
    </row>
    <row r="68" spans="12:15" ht="12.75" hidden="1" customHeight="1"/>
    <row r="69" spans="12:15" ht="12.75" hidden="1" customHeight="1"/>
    <row r="70" spans="12:15" ht="12.75" hidden="1" customHeight="1"/>
    <row r="71" spans="12:15" ht="12.75" hidden="1" customHeight="1"/>
    <row r="72" spans="12:15" ht="12.75" hidden="1" customHeight="1"/>
    <row r="73" spans="12:15" ht="12.75" hidden="1" customHeight="1"/>
    <row r="74" spans="12:15" ht="12.75" hidden="1" customHeight="1"/>
    <row r="75" spans="12:15" ht="12.75" hidden="1" customHeight="1"/>
  </sheetData>
  <sheetProtection password="F4F5" sheet="1" objects="1" scenarios="1" selectLockedCells="1"/>
  <mergeCells count="7">
    <mergeCell ref="H49:I49"/>
    <mergeCell ref="C40:F40"/>
    <mergeCell ref="B2:F4"/>
    <mergeCell ref="B22:F24"/>
    <mergeCell ref="E27:E28"/>
    <mergeCell ref="C27:C28"/>
    <mergeCell ref="H43:I43"/>
  </mergeCells>
  <dataValidations count="4">
    <dataValidation type="list" allowBlank="1" showInputMessage="1" showErrorMessage="1" sqref="E12">
      <formula1>$U$7:$U$29</formula1>
    </dataValidation>
    <dataValidation allowBlank="1" showInputMessage="1" showErrorMessage="1" errorTitle="Error de elección" error="Debes elegir un automóvil de la lista" sqref="C42"/>
  </dataValidations>
  <printOptions horizontalCentered="1" verticalCentered="1"/>
  <pageMargins left="0.70866141732283472" right="0.70866141732283472" top="0.74803149606299213" bottom="0.74803149606299213" header="0.31496062992125984" footer="0.31496062992125984"/>
  <pageSetup orientation="portrait" verticalDpi="0" r:id="rId1"/>
</worksheet>
</file>

<file path=xl/worksheets/sheet4.xml><?xml version="1.0" encoding="utf-8"?>
<worksheet xmlns="http://schemas.openxmlformats.org/spreadsheetml/2006/main" xmlns:r="http://schemas.openxmlformats.org/officeDocument/2006/relationships">
  <sheetPr codeName="Hoja3">
    <pageSetUpPr fitToPage="1"/>
  </sheetPr>
  <dimension ref="A1:R53"/>
  <sheetViews>
    <sheetView topLeftCell="S10" workbookViewId="0">
      <selection activeCell="R10" sqref="C1:R65536"/>
    </sheetView>
  </sheetViews>
  <sheetFormatPr baseColWidth="10" defaultColWidth="9.33203125" defaultRowHeight="13.5"/>
  <cols>
    <col min="1" max="2" width="8.1640625" style="60" hidden="1" customWidth="1"/>
    <col min="3" max="3" width="26.83203125" style="60" hidden="1" customWidth="1"/>
    <col min="4" max="4" width="1.33203125" style="61" hidden="1" customWidth="1"/>
    <col min="5" max="5" width="14.5" style="65" hidden="1" customWidth="1"/>
    <col min="6" max="6" width="19.6640625" style="65" hidden="1" customWidth="1"/>
    <col min="7" max="7" width="12" style="60" hidden="1" customWidth="1"/>
    <col min="8" max="8" width="18" style="60" hidden="1" customWidth="1"/>
    <col min="9" max="9" width="16.6640625" style="60" hidden="1" customWidth="1"/>
    <col min="10" max="11" width="12" style="60" hidden="1" customWidth="1"/>
    <col min="12" max="12" width="15.5" style="60" hidden="1" customWidth="1"/>
    <col min="13" max="18" width="9.33203125" style="60" hidden="1" customWidth="1"/>
    <col min="19" max="16384" width="9.33203125" style="60"/>
  </cols>
  <sheetData>
    <row r="1" spans="1:12" ht="22.5">
      <c r="A1" s="64"/>
      <c r="B1" s="64"/>
    </row>
    <row r="2" spans="1:12" ht="22.5" customHeight="1">
      <c r="A2" s="66"/>
      <c r="B2" s="66"/>
      <c r="C2" s="66"/>
      <c r="D2" s="66"/>
      <c r="E2" s="66"/>
      <c r="F2" s="66"/>
    </row>
    <row r="3" spans="1:12" ht="22.5">
      <c r="A3" s="67"/>
      <c r="B3" s="67"/>
      <c r="E3" s="68"/>
      <c r="F3" s="68"/>
    </row>
    <row r="4" spans="1:12" ht="12.75" customHeight="1">
      <c r="A4" s="67"/>
      <c r="B4" s="67"/>
      <c r="E4" s="979" t="s">
        <v>90</v>
      </c>
      <c r="F4" s="979"/>
    </row>
    <row r="5" spans="1:12">
      <c r="E5" s="69" t="s">
        <v>85</v>
      </c>
      <c r="F5" s="69" t="s">
        <v>84</v>
      </c>
      <c r="G5"/>
      <c r="H5"/>
      <c r="I5"/>
      <c r="J5"/>
      <c r="K5"/>
      <c r="L5"/>
    </row>
    <row r="6" spans="1:12">
      <c r="G6"/>
      <c r="H6"/>
      <c r="I6"/>
      <c r="J6"/>
      <c r="K6"/>
      <c r="L6"/>
    </row>
    <row r="7" spans="1:12">
      <c r="A7" s="59" t="s">
        <v>24</v>
      </c>
      <c r="B7" s="59" t="s">
        <v>24</v>
      </c>
      <c r="C7" s="398" t="s">
        <v>129</v>
      </c>
      <c r="D7" s="399"/>
      <c r="E7" s="413">
        <v>3.1328999999999998</v>
      </c>
      <c r="F7" s="414">
        <v>2254.34</v>
      </c>
      <c r="G7"/>
      <c r="H7"/>
      <c r="I7" s="59" t="s">
        <v>221</v>
      </c>
      <c r="J7" s="59"/>
      <c r="K7" s="408">
        <v>3.1328999999999998</v>
      </c>
      <c r="L7" s="409">
        <v>2254.34</v>
      </c>
    </row>
    <row r="8" spans="1:12">
      <c r="A8" s="59"/>
      <c r="B8" s="59"/>
      <c r="C8" s="398"/>
      <c r="D8" s="399"/>
      <c r="E8" s="397"/>
      <c r="F8" s="400"/>
      <c r="G8"/>
      <c r="H8"/>
      <c r="I8" s="59" t="s">
        <v>21</v>
      </c>
      <c r="J8" s="59"/>
      <c r="K8" s="408"/>
      <c r="L8" s="409"/>
    </row>
    <row r="9" spans="1:12">
      <c r="A9" s="59" t="s">
        <v>14</v>
      </c>
      <c r="B9" s="59" t="s">
        <v>14</v>
      </c>
      <c r="C9" s="398" t="s">
        <v>15</v>
      </c>
      <c r="D9" s="399"/>
      <c r="E9" s="408">
        <v>3.5463</v>
      </c>
      <c r="F9" s="409">
        <v>2254.34</v>
      </c>
      <c r="G9"/>
      <c r="H9"/>
      <c r="I9" s="59" t="s">
        <v>15</v>
      </c>
      <c r="J9" s="59"/>
      <c r="K9" s="408">
        <v>3.5463</v>
      </c>
      <c r="L9" s="409">
        <v>2254.34</v>
      </c>
    </row>
    <row r="10" spans="1:12">
      <c r="A10" s="59"/>
      <c r="B10" s="59"/>
      <c r="C10" s="398"/>
      <c r="D10" s="399"/>
      <c r="E10" s="397"/>
      <c r="F10" s="400"/>
      <c r="G10"/>
      <c r="H10"/>
      <c r="I10" s="59" t="s">
        <v>5</v>
      </c>
      <c r="J10" s="59"/>
      <c r="K10" s="408"/>
      <c r="L10" s="409"/>
    </row>
    <row r="11" spans="1:12">
      <c r="A11" s="59" t="s">
        <v>12</v>
      </c>
      <c r="B11" s="59" t="s">
        <v>12</v>
      </c>
      <c r="C11" s="398" t="s">
        <v>13</v>
      </c>
      <c r="D11" s="399"/>
      <c r="E11" s="408">
        <v>3.4384999999999999</v>
      </c>
      <c r="F11" s="409">
        <v>2254.34</v>
      </c>
      <c r="G11"/>
      <c r="H11"/>
      <c r="I11" s="59" t="s">
        <v>13</v>
      </c>
      <c r="J11" s="59"/>
      <c r="K11" s="408">
        <v>3.4384999999999999</v>
      </c>
      <c r="L11" s="409">
        <v>2254.34</v>
      </c>
    </row>
    <row r="12" spans="1:12">
      <c r="A12" s="59" t="s">
        <v>19</v>
      </c>
      <c r="B12" s="59" t="s">
        <v>19</v>
      </c>
      <c r="C12" s="398" t="s">
        <v>20</v>
      </c>
      <c r="D12" s="399"/>
      <c r="E12" s="408">
        <v>3.4384999999999999</v>
      </c>
      <c r="F12" s="409">
        <v>2254.34</v>
      </c>
      <c r="G12"/>
      <c r="H12"/>
      <c r="I12" s="59" t="s">
        <v>20</v>
      </c>
      <c r="J12" s="59"/>
      <c r="K12" s="408">
        <v>3.4384999999999999</v>
      </c>
      <c r="L12" s="409">
        <v>2254.34</v>
      </c>
    </row>
    <row r="13" spans="1:12">
      <c r="A13" s="59"/>
      <c r="B13" s="59"/>
      <c r="C13" s="398" t="s">
        <v>46</v>
      </c>
      <c r="D13" s="398"/>
      <c r="E13" s="408">
        <v>3.0188000000000001</v>
      </c>
      <c r="F13" s="409">
        <v>3079.03</v>
      </c>
      <c r="G13"/>
      <c r="H13"/>
      <c r="I13" s="59" t="s">
        <v>22</v>
      </c>
      <c r="J13" s="59"/>
      <c r="K13" s="408"/>
      <c r="L13" s="409"/>
    </row>
    <row r="14" spans="1:12">
      <c r="A14" s="59"/>
      <c r="B14" s="59"/>
      <c r="C14" s="398" t="s">
        <v>55</v>
      </c>
      <c r="D14" s="398"/>
      <c r="E14" s="408">
        <v>3.0188000000000001</v>
      </c>
      <c r="F14" s="409">
        <v>3079.03</v>
      </c>
      <c r="G14"/>
      <c r="H14"/>
      <c r="I14" s="59" t="s">
        <v>156</v>
      </c>
      <c r="J14" s="59"/>
      <c r="K14" s="408"/>
      <c r="L14" s="409"/>
    </row>
    <row r="15" spans="1:12">
      <c r="A15" s="59"/>
      <c r="B15" s="59"/>
      <c r="C15" s="398" t="s">
        <v>150</v>
      </c>
      <c r="D15" s="398"/>
      <c r="E15" s="408">
        <v>3.0188000000000001</v>
      </c>
      <c r="F15" s="409">
        <v>3079.03</v>
      </c>
      <c r="G15"/>
      <c r="H15"/>
      <c r="I15" s="59" t="s">
        <v>4</v>
      </c>
      <c r="J15" s="59"/>
      <c r="K15" s="408">
        <v>2.9304999999999999</v>
      </c>
      <c r="L15" s="409">
        <v>2254.34</v>
      </c>
    </row>
    <row r="16" spans="1:12">
      <c r="A16" s="59" t="s">
        <v>49</v>
      </c>
      <c r="B16" s="59" t="s">
        <v>49</v>
      </c>
      <c r="C16" s="398" t="s">
        <v>52</v>
      </c>
      <c r="D16" s="398"/>
      <c r="E16" s="408">
        <v>3.0188000000000001</v>
      </c>
      <c r="F16" s="409">
        <v>3507.53</v>
      </c>
      <c r="G16"/>
      <c r="H16"/>
      <c r="I16" s="410" t="s">
        <v>50</v>
      </c>
      <c r="J16" s="410"/>
      <c r="K16" s="408"/>
      <c r="L16" s="409"/>
    </row>
    <row r="17" spans="1:12">
      <c r="A17" s="59" t="s">
        <v>10</v>
      </c>
      <c r="B17" s="59" t="s">
        <v>10</v>
      </c>
      <c r="C17" s="398" t="s">
        <v>11</v>
      </c>
      <c r="D17" s="399"/>
      <c r="E17" s="397">
        <v>2.6393</v>
      </c>
      <c r="F17" s="400">
        <v>2254.34</v>
      </c>
      <c r="G17"/>
      <c r="H17"/>
      <c r="I17" s="59" t="s">
        <v>11</v>
      </c>
      <c r="J17" s="59"/>
      <c r="K17" s="408">
        <v>2.6393</v>
      </c>
      <c r="L17" s="409">
        <v>2254.34</v>
      </c>
    </row>
    <row r="18" spans="1:12">
      <c r="A18" s="59" t="s">
        <v>16</v>
      </c>
      <c r="B18" s="59" t="s">
        <v>16</v>
      </c>
      <c r="C18" s="398" t="s">
        <v>17</v>
      </c>
      <c r="D18" s="399"/>
      <c r="E18" s="408">
        <v>2.4609999999999999</v>
      </c>
      <c r="F18" s="409">
        <v>2254.34</v>
      </c>
      <c r="G18"/>
      <c r="H18"/>
      <c r="I18" s="59" t="s">
        <v>17</v>
      </c>
      <c r="J18" s="59"/>
      <c r="K18" s="408">
        <v>2.4609999999999999</v>
      </c>
      <c r="L18" s="409">
        <v>2254.34</v>
      </c>
    </row>
    <row r="19" spans="1:12">
      <c r="A19" s="59" t="s">
        <v>43</v>
      </c>
      <c r="B19" s="59" t="s">
        <v>83</v>
      </c>
      <c r="C19" s="398" t="s">
        <v>50</v>
      </c>
      <c r="D19" s="398"/>
      <c r="E19" s="397">
        <v>4.7595000000000001</v>
      </c>
      <c r="F19" s="400">
        <v>3313.95</v>
      </c>
      <c r="G19"/>
      <c r="H19"/>
      <c r="I19" s="410" t="s">
        <v>44</v>
      </c>
      <c r="J19" s="410"/>
      <c r="K19" s="408">
        <v>3.0188000000000001</v>
      </c>
      <c r="L19" s="409">
        <v>3079.03</v>
      </c>
    </row>
    <row r="20" spans="1:12">
      <c r="A20" s="59"/>
      <c r="B20" s="59"/>
      <c r="C20" s="398" t="s">
        <v>44</v>
      </c>
      <c r="D20" s="399"/>
      <c r="E20" s="408">
        <v>3.0188000000000001</v>
      </c>
      <c r="F20" s="409">
        <v>3079.03</v>
      </c>
      <c r="G20"/>
      <c r="H20"/>
      <c r="I20" s="59" t="s">
        <v>18</v>
      </c>
      <c r="J20" s="59"/>
      <c r="K20" s="408"/>
      <c r="L20" s="409"/>
    </row>
    <row r="21" spans="1:12">
      <c r="A21" s="59" t="s">
        <v>8</v>
      </c>
      <c r="B21" s="59" t="s">
        <v>8</v>
      </c>
      <c r="C21" s="398" t="s">
        <v>9</v>
      </c>
      <c r="D21" s="399"/>
      <c r="E21" s="397">
        <v>2.3203</v>
      </c>
      <c r="F21" s="400">
        <v>2254.34</v>
      </c>
      <c r="G21"/>
      <c r="H21"/>
      <c r="I21" s="411" t="s">
        <v>9</v>
      </c>
      <c r="J21" s="411"/>
      <c r="K21" s="408">
        <v>2.3203</v>
      </c>
      <c r="L21" s="409">
        <v>2254.34</v>
      </c>
    </row>
    <row r="22" spans="1:12">
      <c r="A22" s="59"/>
      <c r="B22" s="59"/>
      <c r="C22" s="398" t="s">
        <v>42</v>
      </c>
      <c r="D22" s="399"/>
      <c r="E22" s="397">
        <v>4.1295000000000002</v>
      </c>
      <c r="F22" s="400">
        <v>3313.95</v>
      </c>
      <c r="G22"/>
      <c r="H22"/>
      <c r="I22" s="59" t="s">
        <v>141</v>
      </c>
      <c r="J22" s="59"/>
      <c r="K22" s="408">
        <v>3.0188000000000001</v>
      </c>
      <c r="L22" s="409">
        <v>3597.53</v>
      </c>
    </row>
    <row r="23" spans="1:12">
      <c r="A23" s="59" t="s">
        <v>0</v>
      </c>
      <c r="B23" s="59" t="s">
        <v>43</v>
      </c>
      <c r="C23" s="398" t="s">
        <v>1</v>
      </c>
      <c r="D23" s="399"/>
      <c r="E23" s="397">
        <v>2.7103000000000002</v>
      </c>
      <c r="F23" s="400">
        <v>2254.34</v>
      </c>
      <c r="G23"/>
      <c r="H23"/>
      <c r="I23" s="59" t="s">
        <v>1</v>
      </c>
      <c r="J23" s="59"/>
      <c r="K23" s="408">
        <v>2.7103000000000002</v>
      </c>
      <c r="L23" s="409">
        <v>2254.34</v>
      </c>
    </row>
    <row r="24" spans="1:12">
      <c r="A24" s="59"/>
      <c r="B24" s="59"/>
      <c r="C24" s="398"/>
      <c r="D24" s="399"/>
      <c r="E24" s="397"/>
      <c r="F24" s="400"/>
      <c r="G24"/>
      <c r="H24"/>
      <c r="I24" s="59" t="s">
        <v>40</v>
      </c>
      <c r="J24" s="59"/>
      <c r="K24" s="408"/>
      <c r="L24" s="409"/>
    </row>
    <row r="25" spans="1:12">
      <c r="A25" s="59"/>
      <c r="B25" s="59"/>
      <c r="C25" s="398"/>
      <c r="D25" s="399"/>
      <c r="E25" s="397"/>
      <c r="F25" s="400"/>
      <c r="G25"/>
      <c r="H25"/>
      <c r="I25" s="59" t="s">
        <v>3</v>
      </c>
      <c r="J25" s="59"/>
      <c r="K25" s="408"/>
      <c r="L25" s="409"/>
    </row>
    <row r="26" spans="1:12">
      <c r="A26" s="59"/>
      <c r="B26" s="59"/>
      <c r="C26" s="398"/>
      <c r="D26" s="399"/>
      <c r="E26" s="397"/>
      <c r="F26" s="400"/>
      <c r="G26"/>
      <c r="H26"/>
      <c r="I26" s="59" t="s">
        <v>78</v>
      </c>
      <c r="J26" s="59"/>
      <c r="K26" s="408"/>
      <c r="L26" s="409"/>
    </row>
    <row r="27" spans="1:12">
      <c r="A27" s="59" t="s">
        <v>6</v>
      </c>
      <c r="B27" s="59" t="s">
        <v>49</v>
      </c>
      <c r="C27" s="398" t="s">
        <v>7</v>
      </c>
      <c r="D27" s="399"/>
      <c r="E27" s="408">
        <v>5.6063999999999998</v>
      </c>
      <c r="F27" s="409">
        <v>2254.34</v>
      </c>
      <c r="G27"/>
      <c r="H27"/>
      <c r="I27" s="59" t="s">
        <v>7</v>
      </c>
      <c r="J27" s="59"/>
      <c r="K27" s="408">
        <v>5.6063999999999998</v>
      </c>
      <c r="L27" s="409">
        <v>2254.34</v>
      </c>
    </row>
    <row r="28" spans="1:12">
      <c r="A28" s="59"/>
      <c r="B28" s="59"/>
      <c r="C28" s="398"/>
      <c r="D28" s="399"/>
      <c r="E28" s="397"/>
      <c r="F28" s="400"/>
      <c r="G28"/>
      <c r="H28"/>
      <c r="I28" s="59" t="s">
        <v>23</v>
      </c>
      <c r="J28" s="59"/>
      <c r="K28" s="408"/>
      <c r="L28" s="409"/>
    </row>
    <row r="29" spans="1:12">
      <c r="A29" s="59" t="s">
        <v>41</v>
      </c>
      <c r="B29" s="59" t="s">
        <v>79</v>
      </c>
      <c r="C29" s="398" t="s">
        <v>154</v>
      </c>
      <c r="D29" s="399"/>
      <c r="E29" s="397">
        <v>2.9304999999999999</v>
      </c>
      <c r="F29" s="400">
        <v>2254.34</v>
      </c>
      <c r="G29"/>
      <c r="H29"/>
      <c r="I29" s="412" t="s">
        <v>114</v>
      </c>
      <c r="J29" s="412"/>
      <c r="K29" s="408">
        <v>3.0188000000000001</v>
      </c>
      <c r="L29" s="409">
        <v>3079.03</v>
      </c>
    </row>
    <row r="30" spans="1:12">
      <c r="A30" s="59" t="s">
        <v>45</v>
      </c>
      <c r="B30" s="59" t="s">
        <v>80</v>
      </c>
      <c r="C30" s="398" t="s">
        <v>155</v>
      </c>
      <c r="D30" s="399"/>
      <c r="E30" s="397">
        <v>2.9304999999999999</v>
      </c>
      <c r="F30" s="400">
        <v>2254.34</v>
      </c>
      <c r="G30"/>
      <c r="H30"/>
      <c r="I30" s="410" t="s">
        <v>46</v>
      </c>
      <c r="J30" s="410"/>
      <c r="K30" s="408">
        <v>3.0188000000000001</v>
      </c>
      <c r="L30" s="409">
        <v>3079.03</v>
      </c>
    </row>
    <row r="31" spans="1:12">
      <c r="A31" s="59" t="s">
        <v>41</v>
      </c>
      <c r="B31" s="59" t="s">
        <v>80</v>
      </c>
      <c r="C31" s="398" t="s">
        <v>151</v>
      </c>
      <c r="D31" s="399"/>
      <c r="E31" s="397">
        <v>2.9304999999999999</v>
      </c>
      <c r="F31" s="400">
        <v>2254.34</v>
      </c>
      <c r="G31"/>
      <c r="H31"/>
      <c r="I31" s="410" t="s">
        <v>55</v>
      </c>
      <c r="J31" s="410"/>
      <c r="K31" s="408">
        <v>3.0188000000000001</v>
      </c>
      <c r="L31" s="409">
        <v>3079.03</v>
      </c>
    </row>
    <row r="32" spans="1:12">
      <c r="A32" s="59" t="s">
        <v>47</v>
      </c>
      <c r="B32" s="59" t="s">
        <v>81</v>
      </c>
      <c r="C32" s="398" t="s">
        <v>107</v>
      </c>
      <c r="D32" s="399"/>
      <c r="E32" s="397">
        <v>4.8353999999999999</v>
      </c>
      <c r="F32" s="400">
        <v>2420.4</v>
      </c>
      <c r="G32"/>
      <c r="H32"/>
      <c r="I32" s="410" t="s">
        <v>48</v>
      </c>
      <c r="J32" s="410"/>
      <c r="K32" s="408">
        <v>3.0188000000000001</v>
      </c>
      <c r="L32" s="409">
        <v>3079.03</v>
      </c>
    </row>
    <row r="33" spans="1:12">
      <c r="A33" s="59" t="s">
        <v>51</v>
      </c>
      <c r="B33" s="59" t="s">
        <v>82</v>
      </c>
      <c r="C33" s="398"/>
      <c r="D33" s="399"/>
      <c r="E33" s="397"/>
      <c r="F33" s="400"/>
      <c r="G33"/>
      <c r="H33"/>
      <c r="I33" s="410" t="s">
        <v>52</v>
      </c>
      <c r="J33" s="410"/>
      <c r="K33" s="408">
        <v>3.0188000000000001</v>
      </c>
      <c r="L33" s="409">
        <v>3507.53</v>
      </c>
    </row>
    <row r="34" spans="1:12">
      <c r="A34" s="59"/>
      <c r="B34" s="59"/>
      <c r="C34" s="398" t="s">
        <v>149</v>
      </c>
      <c r="D34" s="399"/>
      <c r="E34" s="408">
        <v>3.0188000000000001</v>
      </c>
      <c r="F34" s="409">
        <v>3597.53</v>
      </c>
      <c r="G34"/>
      <c r="H34"/>
      <c r="I34" s="59" t="s">
        <v>53</v>
      </c>
      <c r="J34" s="59"/>
      <c r="K34" s="408">
        <v>3.0188000000000001</v>
      </c>
      <c r="L34" s="409">
        <v>3597.53</v>
      </c>
    </row>
    <row r="35" spans="1:12">
      <c r="A35" s="59"/>
      <c r="B35" s="59"/>
      <c r="C35" s="398" t="s">
        <v>105</v>
      </c>
      <c r="D35" s="399"/>
      <c r="E35" s="397">
        <v>2.65</v>
      </c>
      <c r="F35" s="400">
        <v>2254.34</v>
      </c>
      <c r="G35"/>
      <c r="H35"/>
      <c r="I35" s="59" t="s">
        <v>105</v>
      </c>
      <c r="J35" s="59"/>
      <c r="K35" s="408">
        <v>2.65</v>
      </c>
      <c r="L35" s="409">
        <v>2254.34</v>
      </c>
    </row>
    <row r="36" spans="1:12">
      <c r="A36" s="59"/>
      <c r="B36" s="59"/>
      <c r="C36" s="398" t="s">
        <v>104</v>
      </c>
      <c r="D36" s="399"/>
      <c r="E36" s="408">
        <v>2.4150999999999998</v>
      </c>
      <c r="F36" s="409">
        <v>2254.34</v>
      </c>
      <c r="G36"/>
      <c r="H36"/>
      <c r="I36" s="59" t="s">
        <v>104</v>
      </c>
      <c r="J36" s="59"/>
      <c r="K36" s="408">
        <v>2.4150999999999998</v>
      </c>
      <c r="L36" s="409">
        <v>2254.34</v>
      </c>
    </row>
    <row r="37" spans="1:12">
      <c r="A37" s="59"/>
      <c r="B37" s="59"/>
      <c r="C37" s="398"/>
      <c r="D37" s="399"/>
      <c r="E37" s="397"/>
      <c r="F37" s="400"/>
      <c r="G37"/>
      <c r="H37"/>
      <c r="I37" s="59" t="s">
        <v>106</v>
      </c>
      <c r="J37" s="59"/>
      <c r="K37" s="408"/>
      <c r="L37" s="409"/>
    </row>
    <row r="38" spans="1:12">
      <c r="A38" s="59"/>
      <c r="B38" s="59"/>
      <c r="C38" s="398" t="s">
        <v>107</v>
      </c>
      <c r="D38" s="398"/>
      <c r="E38" s="408">
        <v>3.0188000000000001</v>
      </c>
      <c r="F38" s="409">
        <v>3079.03</v>
      </c>
      <c r="G38"/>
      <c r="H38"/>
      <c r="I38" s="410" t="s">
        <v>107</v>
      </c>
      <c r="J38" s="410"/>
      <c r="K38" s="408">
        <v>3.0188000000000001</v>
      </c>
      <c r="L38" s="409">
        <v>3079.03</v>
      </c>
    </row>
    <row r="39" spans="1:12">
      <c r="A39" s="59"/>
      <c r="B39" s="59"/>
      <c r="C39" s="398" t="s">
        <v>111</v>
      </c>
      <c r="D39" s="398"/>
      <c r="E39" s="408">
        <v>3.0188000000000001</v>
      </c>
      <c r="F39" s="409">
        <v>3507.53</v>
      </c>
      <c r="G39"/>
      <c r="H39"/>
      <c r="I39" s="410" t="s">
        <v>111</v>
      </c>
      <c r="J39" s="410"/>
      <c r="K39" s="408">
        <v>3.0188000000000001</v>
      </c>
      <c r="L39" s="409">
        <v>3507.53</v>
      </c>
    </row>
    <row r="40" spans="1:12">
      <c r="A40" s="59"/>
      <c r="B40" s="59"/>
      <c r="C40" s="398" t="s">
        <v>112</v>
      </c>
      <c r="D40" s="399"/>
      <c r="E40" s="397">
        <v>2.3203</v>
      </c>
      <c r="F40" s="400">
        <v>2254.34</v>
      </c>
      <c r="G40"/>
      <c r="H40"/>
      <c r="I40" s="59" t="s">
        <v>112</v>
      </c>
      <c r="J40" s="59"/>
      <c r="K40" s="408">
        <v>2.3203</v>
      </c>
      <c r="L40" s="409">
        <v>2254.34</v>
      </c>
    </row>
    <row r="41" spans="1:12">
      <c r="E41" s="62"/>
      <c r="F41" s="63"/>
      <c r="G41"/>
      <c r="H41"/>
      <c r="I41" s="59" t="s">
        <v>222</v>
      </c>
      <c r="J41" s="59"/>
      <c r="K41" s="408"/>
      <c r="L41" s="409"/>
    </row>
    <row r="42" spans="1:12">
      <c r="E42" s="62"/>
      <c r="F42" s="62"/>
      <c r="G42"/>
      <c r="H42"/>
      <c r="I42"/>
      <c r="J42"/>
      <c r="K42"/>
      <c r="L42"/>
    </row>
    <row r="43" spans="1:12">
      <c r="E43" s="62"/>
      <c r="F43" s="62"/>
      <c r="G43"/>
      <c r="H43"/>
      <c r="I43"/>
      <c r="J43"/>
      <c r="K43"/>
      <c r="L43"/>
    </row>
    <row r="44" spans="1:12">
      <c r="E44" s="62"/>
      <c r="F44" s="62"/>
      <c r="G44"/>
      <c r="H44"/>
      <c r="I44"/>
      <c r="J44"/>
      <c r="K44"/>
      <c r="L44"/>
    </row>
    <row r="45" spans="1:12">
      <c r="E45" s="62"/>
      <c r="F45" s="62"/>
      <c r="G45"/>
      <c r="H45"/>
      <c r="I45"/>
      <c r="J45"/>
      <c r="K45"/>
      <c r="L45"/>
    </row>
    <row r="46" spans="1:12">
      <c r="E46" s="62"/>
      <c r="F46" s="62"/>
      <c r="G46"/>
      <c r="H46"/>
      <c r="I46"/>
      <c r="J46"/>
      <c r="K46"/>
      <c r="L46"/>
    </row>
    <row r="47" spans="1:12">
      <c r="E47" s="62"/>
      <c r="F47" s="62"/>
      <c r="G47"/>
      <c r="H47"/>
      <c r="I47"/>
      <c r="J47"/>
      <c r="K47"/>
      <c r="L47"/>
    </row>
    <row r="48" spans="1:12">
      <c r="E48" s="62"/>
      <c r="F48" s="62"/>
      <c r="G48"/>
      <c r="H48"/>
      <c r="I48"/>
      <c r="J48"/>
      <c r="K48"/>
      <c r="L48"/>
    </row>
    <row r="49" spans="5:12">
      <c r="E49" s="62"/>
      <c r="F49" s="62"/>
      <c r="G49"/>
      <c r="H49"/>
      <c r="I49"/>
      <c r="J49"/>
      <c r="K49"/>
      <c r="L49"/>
    </row>
    <row r="50" spans="5:12">
      <c r="E50" s="62"/>
      <c r="F50" s="62"/>
    </row>
    <row r="51" spans="5:12">
      <c r="E51" s="62"/>
      <c r="F51" s="62"/>
    </row>
    <row r="52" spans="5:12">
      <c r="E52" s="62"/>
      <c r="F52" s="62"/>
    </row>
    <row r="53" spans="5:12">
      <c r="E53" s="62"/>
      <c r="F53" s="62"/>
    </row>
  </sheetData>
  <sheetProtection password="F4F5" sheet="1" objects="1" scenarios="1" selectLockedCells="1" selectUnlockedCells="1"/>
  <mergeCells count="1">
    <mergeCell ref="E4:F4"/>
  </mergeCells>
  <phoneticPr fontId="0" type="noConversion"/>
  <printOptions horizontalCentered="1" verticalCentered="1"/>
  <pageMargins left="0.75" right="0.75" top="1" bottom="1" header="0" footer="0"/>
  <pageSetup orientation="portrait" r:id="rId1"/>
  <headerFooter alignWithMargins="0"/>
</worksheet>
</file>

<file path=xl/worksheets/sheet5.xml><?xml version="1.0" encoding="utf-8"?>
<worksheet xmlns="http://schemas.openxmlformats.org/spreadsheetml/2006/main" xmlns:r="http://schemas.openxmlformats.org/officeDocument/2006/relationships">
  <sheetPr codeName="Hoja4">
    <pageSetUpPr fitToPage="1"/>
  </sheetPr>
  <dimension ref="A2:O70"/>
  <sheetViews>
    <sheetView topLeftCell="P1" workbookViewId="0">
      <selection activeCell="O1" sqref="A1:O65536"/>
    </sheetView>
  </sheetViews>
  <sheetFormatPr baseColWidth="10" defaultColWidth="9.33203125" defaultRowHeight="12.75"/>
  <cols>
    <col min="1" max="2" width="12" hidden="1" customWidth="1"/>
    <col min="3" max="3" width="2.33203125" hidden="1" customWidth="1"/>
    <col min="4" max="5" width="9.33203125" hidden="1" customWidth="1"/>
    <col min="6" max="6" width="23" hidden="1" customWidth="1"/>
    <col min="7" max="15" width="9.33203125" hidden="1" customWidth="1"/>
  </cols>
  <sheetData>
    <row r="2" spans="1:9" ht="18">
      <c r="A2" s="1" t="s">
        <v>25</v>
      </c>
      <c r="B2" s="2"/>
      <c r="D2" s="3"/>
    </row>
    <row r="3" spans="1:9" ht="18">
      <c r="A3" s="1" t="s">
        <v>26</v>
      </c>
      <c r="B3" s="2"/>
      <c r="D3" s="3"/>
    </row>
    <row r="4" spans="1:9" ht="13.5" thickBot="1">
      <c r="A4" s="4"/>
      <c r="B4" s="5"/>
      <c r="C4" s="6"/>
      <c r="D4" s="6"/>
    </row>
    <row r="5" spans="1:9" ht="13.5" thickTop="1">
      <c r="A5" s="3"/>
      <c r="B5" s="3"/>
      <c r="C5" s="3"/>
    </row>
    <row r="8" spans="1:9">
      <c r="A8" s="7" t="s">
        <v>27</v>
      </c>
      <c r="B8" s="7" t="s">
        <v>28</v>
      </c>
    </row>
    <row r="9" spans="1:9">
      <c r="A9" s="8" t="s">
        <v>29</v>
      </c>
      <c r="B9" s="8" t="s">
        <v>27</v>
      </c>
    </row>
    <row r="10" spans="1:9">
      <c r="A10" s="9"/>
      <c r="B10" s="9"/>
    </row>
    <row r="11" spans="1:9">
      <c r="A11" s="23">
        <v>1</v>
      </c>
      <c r="B11" s="407">
        <v>0.1002</v>
      </c>
      <c r="C11" s="10"/>
      <c r="E11" s="25"/>
      <c r="F11" s="23">
        <v>1</v>
      </c>
      <c r="G11" s="407">
        <v>0.1002</v>
      </c>
      <c r="I11" s="40">
        <f>B11-G11</f>
        <v>0</v>
      </c>
    </row>
    <row r="12" spans="1:9">
      <c r="A12" s="23">
        <v>2</v>
      </c>
      <c r="B12" s="407">
        <v>0.19789999999999999</v>
      </c>
      <c r="C12" s="10"/>
      <c r="D12" s="40"/>
      <c r="E12" s="25"/>
      <c r="F12" s="23">
        <v>2</v>
      </c>
      <c r="G12" s="407">
        <v>0.19789999999999999</v>
      </c>
      <c r="I12" s="40">
        <f t="shared" ref="I12:I70" si="0">B12-G12</f>
        <v>0</v>
      </c>
    </row>
    <row r="13" spans="1:9">
      <c r="A13" s="23">
        <v>3</v>
      </c>
      <c r="B13" s="407">
        <v>0.28360000000000002</v>
      </c>
      <c r="C13" s="10"/>
      <c r="D13" s="40"/>
      <c r="E13" s="25"/>
      <c r="F13" s="23">
        <v>3</v>
      </c>
      <c r="G13" s="407">
        <v>0.28360000000000002</v>
      </c>
      <c r="I13" s="40">
        <f t="shared" si="0"/>
        <v>0</v>
      </c>
    </row>
    <row r="14" spans="1:9">
      <c r="A14" s="23">
        <v>4</v>
      </c>
      <c r="B14" s="407">
        <v>0.37630000000000002</v>
      </c>
      <c r="C14" s="10"/>
      <c r="D14" s="40"/>
      <c r="E14" s="25"/>
      <c r="F14" s="23">
        <v>4</v>
      </c>
      <c r="G14" s="407">
        <v>0.37630000000000002</v>
      </c>
      <c r="I14" s="40">
        <f t="shared" si="0"/>
        <v>0</v>
      </c>
    </row>
    <row r="15" spans="1:9">
      <c r="A15" s="23">
        <v>5</v>
      </c>
      <c r="B15" s="407">
        <v>0.46329999999999999</v>
      </c>
      <c r="C15" s="10"/>
      <c r="D15" s="40"/>
      <c r="E15" s="25"/>
      <c r="F15" s="23">
        <v>5</v>
      </c>
      <c r="G15" s="407">
        <v>0.46329999999999999</v>
      </c>
      <c r="I15" s="40">
        <f t="shared" si="0"/>
        <v>0</v>
      </c>
    </row>
    <row r="16" spans="1:9">
      <c r="A16" s="23">
        <v>6</v>
      </c>
      <c r="B16" s="407">
        <v>0.55100000000000005</v>
      </c>
      <c r="C16" s="10"/>
      <c r="D16" s="40"/>
      <c r="E16" s="25"/>
      <c r="F16" s="23">
        <v>6</v>
      </c>
      <c r="G16" s="407">
        <v>0.55100000000000005</v>
      </c>
      <c r="I16" s="40">
        <f t="shared" si="0"/>
        <v>0</v>
      </c>
    </row>
    <row r="17" spans="1:9">
      <c r="A17" s="23">
        <v>7</v>
      </c>
      <c r="B17" s="407">
        <v>0.6331</v>
      </c>
      <c r="C17" s="10"/>
      <c r="D17" s="40"/>
      <c r="E17" s="25"/>
      <c r="F17" s="23">
        <v>7</v>
      </c>
      <c r="G17" s="407">
        <v>0.6331</v>
      </c>
      <c r="I17" s="40">
        <f t="shared" si="0"/>
        <v>0</v>
      </c>
    </row>
    <row r="18" spans="1:9">
      <c r="A18" s="23">
        <v>8</v>
      </c>
      <c r="B18" s="407">
        <v>0.7157</v>
      </c>
      <c r="C18" s="10"/>
      <c r="D18" s="40"/>
      <c r="E18" s="25"/>
      <c r="F18" s="23">
        <v>8</v>
      </c>
      <c r="G18" s="407">
        <v>0.7157</v>
      </c>
      <c r="I18" s="40">
        <f t="shared" si="0"/>
        <v>0</v>
      </c>
    </row>
    <row r="19" spans="1:9">
      <c r="A19" s="23">
        <v>9</v>
      </c>
      <c r="B19" s="407">
        <v>0.79569999999999996</v>
      </c>
      <c r="C19" s="10"/>
      <c r="D19" s="40"/>
      <c r="E19" s="25"/>
      <c r="F19" s="23">
        <v>9</v>
      </c>
      <c r="G19" s="407">
        <v>0.79569999999999996</v>
      </c>
      <c r="I19" s="40">
        <f t="shared" si="0"/>
        <v>0</v>
      </c>
    </row>
    <row r="20" spans="1:9">
      <c r="A20" s="23">
        <v>10</v>
      </c>
      <c r="B20" s="407">
        <v>0.87039999999999995</v>
      </c>
      <c r="C20" s="10"/>
      <c r="D20" s="40"/>
      <c r="E20" s="25"/>
      <c r="F20" s="23">
        <v>10</v>
      </c>
      <c r="G20" s="407">
        <v>0.87039999999999995</v>
      </c>
      <c r="I20" s="40">
        <f t="shared" si="0"/>
        <v>0</v>
      </c>
    </row>
    <row r="21" spans="1:9">
      <c r="A21" s="23">
        <v>11</v>
      </c>
      <c r="B21" s="407">
        <v>0.94530000000000003</v>
      </c>
      <c r="C21" s="10"/>
      <c r="D21" s="40"/>
      <c r="E21" s="25"/>
      <c r="F21" s="23">
        <v>11</v>
      </c>
      <c r="G21" s="407">
        <v>0.94530000000000003</v>
      </c>
      <c r="I21" s="40">
        <f t="shared" si="0"/>
        <v>0</v>
      </c>
    </row>
    <row r="22" spans="1:9">
      <c r="A22" s="41">
        <v>12</v>
      </c>
      <c r="B22" s="407">
        <v>1</v>
      </c>
      <c r="C22" s="10"/>
      <c r="D22" s="40"/>
      <c r="E22" s="25"/>
      <c r="F22" s="41">
        <v>12</v>
      </c>
      <c r="G22" s="407">
        <v>1</v>
      </c>
      <c r="I22" s="40">
        <f t="shared" si="0"/>
        <v>0</v>
      </c>
    </row>
    <row r="23" spans="1:9">
      <c r="A23" s="23">
        <v>13</v>
      </c>
      <c r="B23" s="407">
        <v>1.0746</v>
      </c>
      <c r="C23" s="10"/>
      <c r="D23" s="40"/>
      <c r="E23" s="25"/>
      <c r="F23" s="23">
        <v>13</v>
      </c>
      <c r="G23" s="407">
        <v>1.0746</v>
      </c>
      <c r="I23" s="40">
        <f t="shared" si="0"/>
        <v>0</v>
      </c>
    </row>
    <row r="24" spans="1:9">
      <c r="A24" s="23">
        <v>14</v>
      </c>
      <c r="B24" s="407">
        <v>1.1492</v>
      </c>
      <c r="C24" s="10"/>
      <c r="D24" s="40"/>
      <c r="E24" s="25"/>
      <c r="F24" s="23">
        <v>14</v>
      </c>
      <c r="G24" s="407">
        <v>1.1492</v>
      </c>
      <c r="I24" s="40">
        <f t="shared" si="0"/>
        <v>0</v>
      </c>
    </row>
    <row r="25" spans="1:9">
      <c r="A25" s="23">
        <v>15</v>
      </c>
      <c r="B25" s="407">
        <v>1.216</v>
      </c>
      <c r="C25" s="10"/>
      <c r="E25" s="25"/>
      <c r="F25" s="23">
        <v>15</v>
      </c>
      <c r="G25" s="407">
        <v>1.216</v>
      </c>
      <c r="I25" s="40">
        <f t="shared" si="0"/>
        <v>0</v>
      </c>
    </row>
    <row r="26" spans="1:9">
      <c r="A26" s="23">
        <v>16</v>
      </c>
      <c r="B26" s="407">
        <v>1.2906</v>
      </c>
      <c r="C26" s="10"/>
      <c r="E26" s="25"/>
      <c r="F26" s="23">
        <v>16</v>
      </c>
      <c r="G26" s="407">
        <v>1.2906</v>
      </c>
      <c r="I26" s="40">
        <f t="shared" si="0"/>
        <v>0</v>
      </c>
    </row>
    <row r="27" spans="1:9">
      <c r="A27" s="23">
        <v>17</v>
      </c>
      <c r="B27" s="407">
        <v>1.3629</v>
      </c>
      <c r="C27" s="10"/>
      <c r="E27" s="25"/>
      <c r="F27" s="23">
        <v>17</v>
      </c>
      <c r="G27" s="407">
        <v>1.3629</v>
      </c>
      <c r="I27" s="40">
        <f t="shared" si="0"/>
        <v>0</v>
      </c>
    </row>
    <row r="28" spans="1:9">
      <c r="A28" s="23">
        <v>18</v>
      </c>
      <c r="B28" s="407">
        <v>1.4375</v>
      </c>
      <c r="C28" s="10"/>
      <c r="E28" s="25"/>
      <c r="F28" s="23">
        <v>18</v>
      </c>
      <c r="G28" s="407">
        <v>1.4375</v>
      </c>
      <c r="I28" s="40">
        <f t="shared" si="0"/>
        <v>0</v>
      </c>
    </row>
    <row r="29" spans="1:9">
      <c r="A29" s="23">
        <v>19</v>
      </c>
      <c r="B29" s="407">
        <v>1.5095000000000001</v>
      </c>
      <c r="C29" s="10"/>
      <c r="E29" s="25"/>
      <c r="F29" s="23">
        <v>19</v>
      </c>
      <c r="G29" s="407">
        <v>1.5095000000000001</v>
      </c>
      <c r="I29" s="40">
        <f t="shared" si="0"/>
        <v>0</v>
      </c>
    </row>
    <row r="30" spans="1:9">
      <c r="A30" s="23">
        <v>20</v>
      </c>
      <c r="B30" s="407">
        <v>1.5848</v>
      </c>
      <c r="C30" s="10"/>
      <c r="E30" s="25"/>
      <c r="F30" s="23">
        <v>20</v>
      </c>
      <c r="G30" s="407">
        <v>1.5848</v>
      </c>
      <c r="I30" s="40">
        <f t="shared" si="0"/>
        <v>0</v>
      </c>
    </row>
    <row r="31" spans="1:9">
      <c r="A31" s="23">
        <v>21</v>
      </c>
      <c r="B31" s="407">
        <v>1.6595</v>
      </c>
      <c r="E31" s="25"/>
      <c r="F31" s="23">
        <v>21</v>
      </c>
      <c r="G31" s="407">
        <v>1.6595</v>
      </c>
      <c r="I31" s="40">
        <f t="shared" si="0"/>
        <v>0</v>
      </c>
    </row>
    <row r="32" spans="1:9">
      <c r="A32" s="23">
        <v>22</v>
      </c>
      <c r="B32" s="407">
        <v>1.7315</v>
      </c>
      <c r="E32" s="25"/>
      <c r="F32" s="23">
        <v>22</v>
      </c>
      <c r="G32" s="407">
        <v>1.7315</v>
      </c>
      <c r="I32" s="40">
        <f t="shared" si="0"/>
        <v>0</v>
      </c>
    </row>
    <row r="33" spans="1:9">
      <c r="A33" s="23">
        <v>23</v>
      </c>
      <c r="B33" s="407">
        <v>1.8062</v>
      </c>
      <c r="E33" s="25"/>
      <c r="F33" s="23">
        <v>23</v>
      </c>
      <c r="G33" s="407">
        <v>1.8062</v>
      </c>
      <c r="I33" s="40">
        <f t="shared" si="0"/>
        <v>0</v>
      </c>
    </row>
    <row r="34" spans="1:9">
      <c r="A34" s="41">
        <v>24</v>
      </c>
      <c r="B34" s="407">
        <v>1.8779999999999999</v>
      </c>
      <c r="E34" s="25"/>
      <c r="F34" s="41">
        <v>24</v>
      </c>
      <c r="G34" s="407">
        <v>1.8779999999999999</v>
      </c>
      <c r="I34" s="40">
        <f t="shared" si="0"/>
        <v>0</v>
      </c>
    </row>
    <row r="35" spans="1:9">
      <c r="A35" s="23">
        <v>25</v>
      </c>
      <c r="B35" s="407">
        <v>1.9459</v>
      </c>
      <c r="E35" s="25"/>
      <c r="F35" s="23">
        <v>25</v>
      </c>
      <c r="G35" s="407">
        <v>1.9459</v>
      </c>
      <c r="I35" s="40">
        <f t="shared" si="0"/>
        <v>0</v>
      </c>
    </row>
    <row r="36" spans="1:9">
      <c r="A36" s="23">
        <v>26</v>
      </c>
      <c r="B36" s="407">
        <v>2.0137999999999998</v>
      </c>
      <c r="E36" s="25"/>
      <c r="F36" s="23">
        <v>26</v>
      </c>
      <c r="G36" s="407">
        <v>2.0137999999999998</v>
      </c>
      <c r="I36" s="40">
        <f t="shared" si="0"/>
        <v>0</v>
      </c>
    </row>
    <row r="37" spans="1:9">
      <c r="A37" s="23">
        <v>27</v>
      </c>
      <c r="B37" s="407">
        <v>2.0745</v>
      </c>
      <c r="E37" s="25"/>
      <c r="F37" s="23">
        <v>27</v>
      </c>
      <c r="G37" s="407">
        <v>2.0745</v>
      </c>
      <c r="I37" s="40">
        <f t="shared" si="0"/>
        <v>0</v>
      </c>
    </row>
    <row r="38" spans="1:9">
      <c r="A38" s="23">
        <v>28</v>
      </c>
      <c r="B38" s="407">
        <v>2.1423999999999999</v>
      </c>
      <c r="E38" s="25"/>
      <c r="F38" s="23">
        <v>28</v>
      </c>
      <c r="G38" s="407">
        <v>2.1423999999999999</v>
      </c>
      <c r="I38" s="40">
        <f t="shared" si="0"/>
        <v>0</v>
      </c>
    </row>
    <row r="39" spans="1:9">
      <c r="A39" s="23">
        <v>29</v>
      </c>
      <c r="B39" s="407">
        <v>2.2081</v>
      </c>
      <c r="E39" s="25"/>
      <c r="F39" s="23">
        <v>29</v>
      </c>
      <c r="G39" s="407">
        <v>2.2081</v>
      </c>
      <c r="I39" s="40">
        <f t="shared" si="0"/>
        <v>0</v>
      </c>
    </row>
    <row r="40" spans="1:9">
      <c r="A40" s="23">
        <v>30</v>
      </c>
      <c r="B40" s="407">
        <v>2.2759999999999998</v>
      </c>
      <c r="E40" s="25"/>
      <c r="F40" s="23">
        <v>30</v>
      </c>
      <c r="G40" s="407">
        <v>2.2759999999999998</v>
      </c>
      <c r="I40" s="40">
        <f t="shared" si="0"/>
        <v>0</v>
      </c>
    </row>
    <row r="41" spans="1:9">
      <c r="A41" s="23">
        <v>31</v>
      </c>
      <c r="B41" s="407">
        <v>2.3412999999999999</v>
      </c>
      <c r="E41" s="25"/>
      <c r="F41" s="23">
        <v>31</v>
      </c>
      <c r="G41" s="407">
        <v>2.3412999999999999</v>
      </c>
      <c r="I41" s="40">
        <f t="shared" si="0"/>
        <v>0</v>
      </c>
    </row>
    <row r="42" spans="1:9">
      <c r="A42" s="23">
        <v>32</v>
      </c>
      <c r="B42" s="407">
        <v>2.4100999999999999</v>
      </c>
      <c r="E42" s="25"/>
      <c r="F42" s="23">
        <v>32</v>
      </c>
      <c r="G42" s="407">
        <v>2.4100999999999999</v>
      </c>
      <c r="I42" s="40">
        <f t="shared" si="0"/>
        <v>0</v>
      </c>
    </row>
    <row r="43" spans="1:9">
      <c r="A43" s="23">
        <v>33</v>
      </c>
      <c r="B43" s="407">
        <v>2.4781</v>
      </c>
      <c r="E43" s="25"/>
      <c r="F43" s="23">
        <v>33</v>
      </c>
      <c r="G43" s="407">
        <v>2.4781</v>
      </c>
      <c r="I43" s="40">
        <f t="shared" si="0"/>
        <v>0</v>
      </c>
    </row>
    <row r="44" spans="1:9">
      <c r="A44" s="23">
        <v>34</v>
      </c>
      <c r="B44" s="407">
        <v>2.5438999999999998</v>
      </c>
      <c r="E44" s="25"/>
      <c r="F44" s="23">
        <v>34</v>
      </c>
      <c r="G44" s="407">
        <v>2.5438999999999998</v>
      </c>
      <c r="I44" s="40">
        <f t="shared" si="0"/>
        <v>0</v>
      </c>
    </row>
    <row r="45" spans="1:9">
      <c r="A45" s="23">
        <v>35</v>
      </c>
      <c r="B45" s="407">
        <v>2.6116999999999999</v>
      </c>
      <c r="E45" s="25"/>
      <c r="F45" s="23">
        <v>35</v>
      </c>
      <c r="G45" s="407">
        <v>2.6116999999999999</v>
      </c>
      <c r="I45" s="40">
        <f t="shared" si="0"/>
        <v>0</v>
      </c>
    </row>
    <row r="46" spans="1:9">
      <c r="A46" s="41">
        <v>36</v>
      </c>
      <c r="B46" s="407">
        <v>2.6775000000000002</v>
      </c>
      <c r="E46" s="25"/>
      <c r="F46" s="41">
        <v>36</v>
      </c>
      <c r="G46" s="407">
        <v>2.6775000000000002</v>
      </c>
      <c r="I46" s="40">
        <f t="shared" si="0"/>
        <v>0</v>
      </c>
    </row>
    <row r="47" spans="1:9">
      <c r="A47" s="23">
        <v>37</v>
      </c>
      <c r="B47" s="407">
        <v>2.74</v>
      </c>
      <c r="E47" s="25"/>
      <c r="F47" s="23">
        <v>37</v>
      </c>
      <c r="G47" s="407">
        <v>2.74</v>
      </c>
      <c r="I47" s="40">
        <f t="shared" si="0"/>
        <v>0</v>
      </c>
    </row>
    <row r="48" spans="1:9">
      <c r="A48" s="23">
        <v>38</v>
      </c>
      <c r="B48" s="407">
        <v>2.8025000000000002</v>
      </c>
      <c r="E48" s="25"/>
      <c r="F48" s="23">
        <v>38</v>
      </c>
      <c r="G48" s="407">
        <v>2.8025000000000002</v>
      </c>
      <c r="I48" s="40">
        <f t="shared" si="0"/>
        <v>0</v>
      </c>
    </row>
    <row r="49" spans="1:9">
      <c r="A49" s="23">
        <v>39</v>
      </c>
      <c r="B49" s="407">
        <v>2.8607</v>
      </c>
      <c r="E49" s="25"/>
      <c r="F49" s="23">
        <v>39</v>
      </c>
      <c r="G49" s="407">
        <v>2.8607</v>
      </c>
      <c r="I49" s="40">
        <f t="shared" si="0"/>
        <v>0</v>
      </c>
    </row>
    <row r="50" spans="1:9">
      <c r="A50" s="23">
        <v>40</v>
      </c>
      <c r="B50" s="407">
        <v>2.9230999999999998</v>
      </c>
      <c r="E50" s="25"/>
      <c r="F50" s="23">
        <v>40</v>
      </c>
      <c r="G50" s="407">
        <v>2.9230999999999998</v>
      </c>
      <c r="I50" s="40">
        <f t="shared" si="0"/>
        <v>0</v>
      </c>
    </row>
    <row r="51" spans="1:9">
      <c r="A51" s="23">
        <v>41</v>
      </c>
      <c r="B51" s="407">
        <v>2.9836</v>
      </c>
      <c r="E51" s="25"/>
      <c r="F51" s="23">
        <v>41</v>
      </c>
      <c r="G51" s="407">
        <v>2.9836</v>
      </c>
      <c r="I51" s="40">
        <f t="shared" si="0"/>
        <v>0</v>
      </c>
    </row>
    <row r="52" spans="1:9">
      <c r="A52" s="23">
        <v>42</v>
      </c>
      <c r="B52" s="407">
        <v>3.0461999999999998</v>
      </c>
      <c r="E52" s="25"/>
      <c r="F52" s="23">
        <v>42</v>
      </c>
      <c r="G52" s="407">
        <v>3.0461999999999998</v>
      </c>
      <c r="I52" s="40">
        <f t="shared" si="0"/>
        <v>0</v>
      </c>
    </row>
    <row r="53" spans="1:9">
      <c r="A53" s="23">
        <v>43</v>
      </c>
      <c r="B53" s="407">
        <v>3.1061999999999999</v>
      </c>
      <c r="E53" s="25"/>
      <c r="F53" s="23">
        <v>43</v>
      </c>
      <c r="G53" s="407">
        <v>3.1061999999999999</v>
      </c>
      <c r="I53" s="40">
        <f t="shared" si="0"/>
        <v>0</v>
      </c>
    </row>
    <row r="54" spans="1:9">
      <c r="A54" s="23">
        <v>44</v>
      </c>
      <c r="B54" s="407">
        <v>3.1699000000000002</v>
      </c>
      <c r="E54" s="25"/>
      <c r="F54" s="23">
        <v>44</v>
      </c>
      <c r="G54" s="407">
        <v>3.1699000000000002</v>
      </c>
      <c r="I54" s="40">
        <f t="shared" si="0"/>
        <v>0</v>
      </c>
    </row>
    <row r="55" spans="1:9">
      <c r="A55" s="23">
        <v>45</v>
      </c>
      <c r="B55" s="407">
        <v>3.2324000000000002</v>
      </c>
      <c r="E55" s="25"/>
      <c r="F55" s="23">
        <v>45</v>
      </c>
      <c r="G55" s="407">
        <v>3.2324000000000002</v>
      </c>
      <c r="I55" s="40">
        <f t="shared" si="0"/>
        <v>0</v>
      </c>
    </row>
    <row r="56" spans="1:9">
      <c r="A56" s="23">
        <v>46</v>
      </c>
      <c r="B56" s="407">
        <v>3.2928999999999999</v>
      </c>
      <c r="E56" s="25"/>
      <c r="F56" s="23">
        <v>46</v>
      </c>
      <c r="G56" s="407">
        <v>3.2928999999999999</v>
      </c>
      <c r="I56" s="40">
        <f t="shared" si="0"/>
        <v>0</v>
      </c>
    </row>
    <row r="57" spans="1:9">
      <c r="A57" s="23">
        <v>47</v>
      </c>
      <c r="B57" s="407">
        <v>3.3555999999999999</v>
      </c>
      <c r="E57" s="25"/>
      <c r="F57" s="23">
        <v>47</v>
      </c>
      <c r="G57" s="407">
        <v>3.3555999999999999</v>
      </c>
      <c r="I57" s="40">
        <f t="shared" si="0"/>
        <v>0</v>
      </c>
    </row>
    <row r="58" spans="1:9">
      <c r="A58" s="41">
        <v>48</v>
      </c>
      <c r="B58" s="407">
        <v>3.4159000000000002</v>
      </c>
      <c r="E58" s="25"/>
      <c r="F58" s="41">
        <v>48</v>
      </c>
      <c r="G58" s="407">
        <v>3.4159000000000002</v>
      </c>
      <c r="I58" s="40">
        <f t="shared" si="0"/>
        <v>0</v>
      </c>
    </row>
    <row r="59" spans="1:9">
      <c r="A59" s="23">
        <v>49</v>
      </c>
      <c r="B59" s="407">
        <v>3.4741</v>
      </c>
      <c r="E59" s="25"/>
      <c r="F59" s="23">
        <v>49</v>
      </c>
      <c r="G59" s="407">
        <v>3.4741</v>
      </c>
      <c r="I59" s="40">
        <f t="shared" si="0"/>
        <v>0</v>
      </c>
    </row>
    <row r="60" spans="1:9">
      <c r="A60" s="23">
        <v>50</v>
      </c>
      <c r="B60" s="407">
        <v>3.5320999999999998</v>
      </c>
      <c r="E60" s="25"/>
      <c r="F60" s="23">
        <v>50</v>
      </c>
      <c r="G60" s="407">
        <v>3.5320999999999998</v>
      </c>
      <c r="I60" s="40">
        <f t="shared" si="0"/>
        <v>0</v>
      </c>
    </row>
    <row r="61" spans="1:9">
      <c r="A61" s="23">
        <v>51</v>
      </c>
      <c r="B61" s="407">
        <v>3.5838999999999999</v>
      </c>
      <c r="E61" s="25"/>
      <c r="F61" s="23">
        <v>51</v>
      </c>
      <c r="G61" s="407">
        <v>3.5838999999999999</v>
      </c>
      <c r="I61" s="40">
        <f t="shared" si="0"/>
        <v>0</v>
      </c>
    </row>
    <row r="62" spans="1:9">
      <c r="A62" s="23">
        <v>52</v>
      </c>
      <c r="B62" s="407">
        <v>3.6421000000000001</v>
      </c>
      <c r="E62" s="25"/>
      <c r="F62" s="23">
        <v>52</v>
      </c>
      <c r="G62" s="407">
        <v>3.6421000000000001</v>
      </c>
      <c r="I62" s="40">
        <f t="shared" si="0"/>
        <v>0</v>
      </c>
    </row>
    <row r="63" spans="1:9">
      <c r="A63" s="23">
        <v>53</v>
      </c>
      <c r="B63" s="407">
        <v>3.6983000000000001</v>
      </c>
      <c r="E63" s="25"/>
      <c r="F63" s="23">
        <v>53</v>
      </c>
      <c r="G63" s="407">
        <v>3.6983000000000001</v>
      </c>
      <c r="I63" s="40">
        <f t="shared" si="0"/>
        <v>0</v>
      </c>
    </row>
    <row r="64" spans="1:9">
      <c r="A64" s="23">
        <v>54</v>
      </c>
      <c r="B64" s="407">
        <v>3.7564000000000002</v>
      </c>
      <c r="E64" s="25"/>
      <c r="F64" s="23">
        <v>54</v>
      </c>
      <c r="G64" s="407">
        <v>3.7564000000000002</v>
      </c>
      <c r="I64" s="40">
        <f t="shared" si="0"/>
        <v>0</v>
      </c>
    </row>
    <row r="65" spans="1:9">
      <c r="A65" s="23">
        <v>55</v>
      </c>
      <c r="B65" s="407">
        <v>3.9500999999999999</v>
      </c>
      <c r="E65" s="25"/>
      <c r="F65" s="23">
        <v>55</v>
      </c>
      <c r="G65" s="407">
        <v>3.9500999999999999</v>
      </c>
      <c r="I65" s="40">
        <f t="shared" si="0"/>
        <v>0</v>
      </c>
    </row>
    <row r="66" spans="1:9">
      <c r="A66" s="23">
        <v>56</v>
      </c>
      <c r="B66" s="407">
        <v>3.8719999999999999</v>
      </c>
      <c r="E66" s="25"/>
      <c r="F66" s="23">
        <v>56</v>
      </c>
      <c r="G66" s="407">
        <v>3.8719999999999999</v>
      </c>
      <c r="I66" s="40">
        <f t="shared" si="0"/>
        <v>0</v>
      </c>
    </row>
    <row r="67" spans="1:9">
      <c r="A67" s="23">
        <v>57</v>
      </c>
      <c r="B67" s="407">
        <v>3.9300999999999999</v>
      </c>
      <c r="E67" s="25"/>
      <c r="F67" s="23">
        <v>57</v>
      </c>
      <c r="G67" s="407">
        <v>3.9300999999999999</v>
      </c>
      <c r="I67" s="40">
        <f t="shared" si="0"/>
        <v>0</v>
      </c>
    </row>
    <row r="68" spans="1:9">
      <c r="A68" s="23">
        <v>58</v>
      </c>
      <c r="B68" s="407">
        <v>3.9864999999999999</v>
      </c>
      <c r="E68" s="25"/>
      <c r="F68" s="23">
        <v>58</v>
      </c>
      <c r="G68" s="407">
        <v>3.9864999999999999</v>
      </c>
      <c r="I68" s="40">
        <f t="shared" si="0"/>
        <v>0</v>
      </c>
    </row>
    <row r="69" spans="1:9">
      <c r="A69" s="23">
        <v>59</v>
      </c>
      <c r="B69" s="407">
        <v>4.0446999999999997</v>
      </c>
      <c r="E69" s="25"/>
      <c r="F69" s="23">
        <v>59</v>
      </c>
      <c r="G69" s="407">
        <v>4.0446999999999997</v>
      </c>
      <c r="I69" s="40">
        <f t="shared" si="0"/>
        <v>0</v>
      </c>
    </row>
    <row r="70" spans="1:9">
      <c r="A70" s="41">
        <v>60</v>
      </c>
      <c r="B70" s="407">
        <v>4.1006999999999998</v>
      </c>
      <c r="E70" s="25"/>
      <c r="F70" s="41">
        <v>60</v>
      </c>
      <c r="G70" s="407">
        <v>4.1006999999999998</v>
      </c>
      <c r="I70" s="40">
        <f t="shared" si="0"/>
        <v>0</v>
      </c>
    </row>
  </sheetData>
  <sheetProtection password="F4F5" sheet="1" objects="1" scenarios="1" selectLockedCells="1" selectUnlockedCells="1"/>
  <phoneticPr fontId="0" type="noConversion"/>
  <printOptions horizontalCentered="1" verticalCentered="1"/>
  <pageMargins left="0.78740157480314965" right="0.78740157480314965" top="0.98425196850393704" bottom="0.98425196850393704" header="0" footer="0"/>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codeName="Hoja5">
    <pageSetUpPr fitToPage="1"/>
  </sheetPr>
  <dimension ref="A4:K90"/>
  <sheetViews>
    <sheetView topLeftCell="L49" workbookViewId="0">
      <selection activeCell="K49" sqref="A1:K65536"/>
    </sheetView>
  </sheetViews>
  <sheetFormatPr baseColWidth="10" defaultColWidth="9.33203125" defaultRowHeight="12.75"/>
  <cols>
    <col min="1" max="1" width="9.1640625" hidden="1" customWidth="1"/>
    <col min="2" max="2" width="16.1640625" hidden="1" customWidth="1"/>
    <col min="3" max="3" width="8.5" hidden="1" customWidth="1"/>
    <col min="4" max="4" width="14.33203125" hidden="1" customWidth="1"/>
    <col min="5" max="5" width="15" hidden="1" customWidth="1"/>
    <col min="6" max="6" width="11.6640625" hidden="1" customWidth="1"/>
    <col min="7" max="7" width="5.6640625" hidden="1" customWidth="1"/>
    <col min="8" max="11" width="9.33203125" hidden="1" customWidth="1"/>
  </cols>
  <sheetData>
    <row r="4" spans="1:7" ht="23.25">
      <c r="B4" s="980" t="s">
        <v>30</v>
      </c>
      <c r="C4" s="980"/>
      <c r="D4" s="980"/>
      <c r="E4" s="980"/>
      <c r="F4" s="980"/>
      <c r="G4" s="980"/>
    </row>
    <row r="5" spans="1:7" ht="5.25" customHeight="1"/>
    <row r="6" spans="1:7" ht="15.75">
      <c r="B6" s="981" t="s">
        <v>31</v>
      </c>
      <c r="C6" s="981"/>
      <c r="D6" s="981"/>
      <c r="E6" s="981"/>
      <c r="F6" s="981"/>
      <c r="G6" s="981"/>
    </row>
    <row r="7" spans="1:7" s="11" customFormat="1" ht="3.75" customHeight="1"/>
    <row r="8" spans="1:7">
      <c r="A8" s="12"/>
    </row>
    <row r="9" spans="1:7" ht="6.75" customHeight="1"/>
    <row r="10" spans="1:7" ht="18">
      <c r="B10" s="13"/>
    </row>
    <row r="11" spans="1:7" ht="13.5" thickBot="1">
      <c r="C11" s="985" t="s">
        <v>98</v>
      </c>
      <c r="D11" s="985"/>
      <c r="E11" s="985"/>
      <c r="F11" s="985"/>
    </row>
    <row r="12" spans="1:7" ht="13.5" thickTop="1">
      <c r="A12" s="17" t="s">
        <v>34</v>
      </c>
      <c r="B12" s="14" t="s">
        <v>32</v>
      </c>
      <c r="C12" s="15" t="s">
        <v>33</v>
      </c>
      <c r="D12" s="15"/>
      <c r="E12" s="15"/>
      <c r="F12" s="16"/>
    </row>
    <row r="13" spans="1:7" ht="13.5" thickBot="1">
      <c r="A13" s="21"/>
      <c r="B13" s="18" t="s">
        <v>35</v>
      </c>
      <c r="C13" s="19" t="s">
        <v>36</v>
      </c>
      <c r="D13" s="19" t="s">
        <v>37</v>
      </c>
      <c r="E13" s="19" t="s">
        <v>38</v>
      </c>
      <c r="F13" s="20" t="s">
        <v>39</v>
      </c>
    </row>
    <row r="14" spans="1:7" ht="13.5" thickTop="1">
      <c r="C14">
        <v>360</v>
      </c>
      <c r="D14">
        <v>180</v>
      </c>
      <c r="E14">
        <v>90</v>
      </c>
      <c r="F14">
        <v>30</v>
      </c>
    </row>
    <row r="15" spans="1:7">
      <c r="A15" s="982">
        <v>0.18</v>
      </c>
      <c r="B15" s="22">
        <v>1</v>
      </c>
      <c r="C15" s="43">
        <v>0</v>
      </c>
      <c r="D15" s="43">
        <v>0</v>
      </c>
      <c r="E15" s="43">
        <v>0</v>
      </c>
      <c r="F15" s="43">
        <v>0</v>
      </c>
    </row>
    <row r="16" spans="1:7">
      <c r="A16" s="983"/>
      <c r="B16" s="22">
        <v>2</v>
      </c>
      <c r="C16" s="43">
        <v>6.6799999999999998E-2</v>
      </c>
      <c r="D16" s="43">
        <v>4.3999999999999997E-2</v>
      </c>
      <c r="E16" s="43">
        <v>0</v>
      </c>
      <c r="F16" s="43">
        <v>8.4000000000000005E-2</v>
      </c>
    </row>
    <row r="17" spans="1:6">
      <c r="A17" s="983"/>
      <c r="B17" s="22">
        <v>3</v>
      </c>
      <c r="C17" s="43">
        <v>0.13639999999999999</v>
      </c>
      <c r="D17" s="43">
        <v>6.7599999999999993E-2</v>
      </c>
      <c r="E17" s="43">
        <v>0</v>
      </c>
      <c r="F17" s="43">
        <v>8.4000000000000005E-2</v>
      </c>
    </row>
    <row r="18" spans="1:6">
      <c r="A18" s="983"/>
      <c r="B18" s="22">
        <v>4</v>
      </c>
      <c r="C18" s="43">
        <v>0.2087</v>
      </c>
      <c r="D18" s="43">
        <v>0.10249999999999999</v>
      </c>
      <c r="E18" s="43">
        <v>6.8000000000000005E-2</v>
      </c>
      <c r="F18" s="43">
        <v>8.4000000000000005E-2</v>
      </c>
    </row>
    <row r="19" spans="1:6">
      <c r="A19" s="983"/>
      <c r="B19" s="22">
        <v>5</v>
      </c>
      <c r="C19" s="43">
        <v>0.32290000000000002</v>
      </c>
      <c r="D19" s="43">
        <v>0.1381</v>
      </c>
      <c r="E19" s="43">
        <v>8.5400000000000004E-2</v>
      </c>
      <c r="F19" s="43">
        <v>8.4000000000000005E-2</v>
      </c>
    </row>
    <row r="20" spans="1:6">
      <c r="A20" s="983"/>
      <c r="B20" s="22">
        <v>6</v>
      </c>
      <c r="C20" s="43"/>
      <c r="D20" s="43">
        <v>0.1744</v>
      </c>
      <c r="E20" s="43">
        <v>8.5400000000000004E-2</v>
      </c>
      <c r="F20" s="43">
        <v>8.4000000000000005E-2</v>
      </c>
    </row>
    <row r="21" spans="1:6">
      <c r="A21" s="983"/>
      <c r="B21" s="22">
        <v>7</v>
      </c>
      <c r="C21" s="43"/>
      <c r="D21" s="43">
        <v>0.2114</v>
      </c>
      <c r="E21" s="43">
        <v>0.12089999999999999</v>
      </c>
      <c r="F21" s="43">
        <v>8.4000000000000005E-2</v>
      </c>
    </row>
    <row r="22" spans="1:6">
      <c r="A22" s="983"/>
      <c r="B22" s="22">
        <v>8</v>
      </c>
      <c r="C22" s="43"/>
      <c r="D22" s="43">
        <v>0.24909999999999999</v>
      </c>
      <c r="E22" s="43">
        <v>0.12089999999999999</v>
      </c>
      <c r="F22" s="43">
        <v>8.4000000000000005E-2</v>
      </c>
    </row>
    <row r="23" spans="1:6">
      <c r="A23" s="983"/>
      <c r="B23" s="22">
        <v>9</v>
      </c>
      <c r="C23" s="43"/>
      <c r="D23" s="43">
        <v>0.2999</v>
      </c>
      <c r="E23" s="43">
        <v>0.15709999999999999</v>
      </c>
      <c r="F23" s="43">
        <v>8.4000000000000005E-2</v>
      </c>
    </row>
    <row r="24" spans="1:6">
      <c r="A24" s="983"/>
      <c r="B24" s="22">
        <v>10</v>
      </c>
      <c r="C24" s="43"/>
      <c r="D24" s="43">
        <v>0.34539999999999998</v>
      </c>
      <c r="E24" s="43">
        <v>0.15709999999999999</v>
      </c>
      <c r="F24" s="43">
        <v>8.4000000000000005E-2</v>
      </c>
    </row>
    <row r="25" spans="1:6">
      <c r="A25" s="983"/>
      <c r="B25" s="22">
        <v>11</v>
      </c>
      <c r="C25" s="38"/>
      <c r="D25" s="38"/>
      <c r="E25" s="38">
        <v>0.19400000000000001</v>
      </c>
      <c r="F25" s="38">
        <v>8.4000000000000005E-2</v>
      </c>
    </row>
    <row r="26" spans="1:6">
      <c r="A26" s="983"/>
      <c r="B26" s="22">
        <v>12</v>
      </c>
      <c r="C26" s="38"/>
      <c r="D26" s="38"/>
      <c r="E26" s="38">
        <v>0.19400000000000001</v>
      </c>
      <c r="F26" s="38">
        <v>8.4000000000000005E-2</v>
      </c>
    </row>
    <row r="27" spans="1:6">
      <c r="A27" s="983"/>
      <c r="B27" s="22">
        <v>13</v>
      </c>
      <c r="C27" s="38"/>
      <c r="D27" s="38"/>
      <c r="E27" s="38">
        <v>0.2316</v>
      </c>
      <c r="F27" s="38">
        <v>9.7600000000000006E-2</v>
      </c>
    </row>
    <row r="28" spans="1:6">
      <c r="A28" s="983"/>
      <c r="B28" s="22">
        <v>14</v>
      </c>
      <c r="C28" s="38"/>
      <c r="D28" s="38"/>
      <c r="E28" s="38">
        <v>0.2316</v>
      </c>
      <c r="F28" s="38">
        <v>9.7600000000000006E-2</v>
      </c>
    </row>
    <row r="29" spans="1:6">
      <c r="A29" s="983"/>
      <c r="B29" s="22">
        <v>15</v>
      </c>
      <c r="C29" s="38"/>
      <c r="D29" s="38"/>
      <c r="E29" s="38">
        <v>0.27</v>
      </c>
      <c r="F29" s="38">
        <v>9.7600000000000006E-2</v>
      </c>
    </row>
    <row r="30" spans="1:6">
      <c r="A30" s="983"/>
      <c r="B30" s="22">
        <v>16</v>
      </c>
      <c r="C30" s="38"/>
      <c r="D30" s="38"/>
      <c r="E30" s="43">
        <v>0.27</v>
      </c>
      <c r="F30" s="38">
        <v>9.7600000000000006E-2</v>
      </c>
    </row>
    <row r="31" spans="1:6">
      <c r="A31" s="983"/>
      <c r="B31" s="22">
        <v>17</v>
      </c>
      <c r="C31" s="38"/>
      <c r="D31" s="38"/>
      <c r="E31" s="38">
        <v>0.307</v>
      </c>
      <c r="F31" s="38">
        <v>9.7600000000000006E-2</v>
      </c>
    </row>
    <row r="32" spans="1:6">
      <c r="A32" s="983"/>
      <c r="B32" s="22">
        <v>18</v>
      </c>
      <c r="C32" s="38"/>
      <c r="D32" s="38"/>
      <c r="E32" s="38">
        <v>0.307</v>
      </c>
      <c r="F32" s="38">
        <v>9.7600000000000006E-2</v>
      </c>
    </row>
    <row r="33" spans="1:6">
      <c r="A33" s="983"/>
      <c r="B33" s="22">
        <v>19</v>
      </c>
      <c r="C33" s="38"/>
      <c r="D33" s="38"/>
      <c r="E33" s="38">
        <v>0.36649999999999999</v>
      </c>
      <c r="F33" s="38">
        <v>0.13339999999999999</v>
      </c>
    </row>
    <row r="34" spans="1:6">
      <c r="A34" s="983"/>
      <c r="B34" s="22">
        <v>20</v>
      </c>
      <c r="C34" s="38"/>
      <c r="D34" s="38"/>
      <c r="E34" s="38">
        <v>0.36649999999999999</v>
      </c>
      <c r="F34" s="38">
        <v>0.13339999999999999</v>
      </c>
    </row>
    <row r="35" spans="1:6">
      <c r="A35" s="983"/>
      <c r="B35" s="22">
        <v>21</v>
      </c>
      <c r="C35" s="38"/>
      <c r="D35" s="38"/>
      <c r="E35" s="38"/>
      <c r="F35" s="38">
        <v>0.13339999999999999</v>
      </c>
    </row>
    <row r="36" spans="1:6">
      <c r="A36" s="983"/>
      <c r="B36" s="22">
        <v>22</v>
      </c>
      <c r="C36" s="38"/>
      <c r="D36" s="38"/>
      <c r="E36" s="38"/>
      <c r="F36" s="38">
        <v>0.13339999999999999</v>
      </c>
    </row>
    <row r="37" spans="1:6">
      <c r="A37" s="983"/>
      <c r="B37" s="22">
        <v>23</v>
      </c>
      <c r="C37" s="38"/>
      <c r="D37" s="38"/>
      <c r="E37" s="38"/>
      <c r="F37" s="38">
        <v>0.13339999999999999</v>
      </c>
    </row>
    <row r="38" spans="1:6">
      <c r="A38" s="983"/>
      <c r="B38" s="22">
        <v>24</v>
      </c>
      <c r="C38" s="38"/>
      <c r="D38" s="38"/>
      <c r="E38" s="38"/>
      <c r="F38" s="38">
        <v>0.13339999999999999</v>
      </c>
    </row>
    <row r="39" spans="1:6">
      <c r="A39" s="983"/>
      <c r="B39" s="22">
        <v>25</v>
      </c>
      <c r="C39" s="38"/>
      <c r="D39" s="38"/>
      <c r="E39" s="38"/>
      <c r="F39" s="38">
        <v>0.17</v>
      </c>
    </row>
    <row r="40" spans="1:6">
      <c r="A40" s="983"/>
      <c r="B40" s="22">
        <v>26</v>
      </c>
      <c r="C40" s="38"/>
      <c r="D40" s="38"/>
      <c r="E40" s="38"/>
      <c r="F40" s="38">
        <v>0.17</v>
      </c>
    </row>
    <row r="41" spans="1:6">
      <c r="A41" s="983"/>
      <c r="B41" s="22">
        <v>27</v>
      </c>
      <c r="C41" s="38"/>
      <c r="D41" s="38"/>
      <c r="E41" s="38"/>
      <c r="F41" s="38">
        <v>0.17</v>
      </c>
    </row>
    <row r="42" spans="1:6">
      <c r="A42" s="983"/>
      <c r="B42" s="22">
        <v>28</v>
      </c>
      <c r="C42" s="38"/>
      <c r="D42" s="38"/>
      <c r="E42" s="38"/>
      <c r="F42" s="38">
        <v>0.17</v>
      </c>
    </row>
    <row r="43" spans="1:6">
      <c r="A43" s="983"/>
      <c r="B43" s="22">
        <v>29</v>
      </c>
      <c r="C43" s="38"/>
      <c r="D43" s="38"/>
      <c r="E43" s="38"/>
      <c r="F43" s="38">
        <v>0.17</v>
      </c>
    </row>
    <row r="44" spans="1:6">
      <c r="A44" s="983"/>
      <c r="B44" s="22">
        <v>30</v>
      </c>
      <c r="C44" s="38"/>
      <c r="D44" s="38"/>
      <c r="E44" s="38"/>
      <c r="F44" s="38">
        <v>0.17</v>
      </c>
    </row>
    <row r="45" spans="1:6">
      <c r="A45" s="983"/>
      <c r="B45" s="22">
        <v>31</v>
      </c>
      <c r="C45" s="38"/>
      <c r="D45" s="38"/>
      <c r="E45" s="38"/>
      <c r="F45" s="38">
        <v>0.20730000000000001</v>
      </c>
    </row>
    <row r="46" spans="1:6">
      <c r="A46" s="983"/>
      <c r="B46" s="22">
        <v>32</v>
      </c>
      <c r="C46" s="38"/>
      <c r="D46" s="38"/>
      <c r="E46" s="38"/>
      <c r="F46" s="38">
        <v>0.20730000000000001</v>
      </c>
    </row>
    <row r="47" spans="1:6">
      <c r="A47" s="983"/>
      <c r="B47" s="22">
        <v>33</v>
      </c>
      <c r="C47" s="38"/>
      <c r="D47" s="38"/>
      <c r="E47" s="38"/>
      <c r="F47" s="38">
        <v>0.20730000000000001</v>
      </c>
    </row>
    <row r="48" spans="1:6">
      <c r="A48" s="983"/>
      <c r="B48" s="22">
        <v>34</v>
      </c>
      <c r="C48" s="38"/>
      <c r="D48" s="38"/>
      <c r="E48" s="38"/>
      <c r="F48" s="38">
        <v>0.20730000000000001</v>
      </c>
    </row>
    <row r="49" spans="1:6">
      <c r="A49" s="983"/>
      <c r="B49" s="22">
        <v>35</v>
      </c>
      <c r="C49" s="38"/>
      <c r="D49" s="38"/>
      <c r="E49" s="38"/>
      <c r="F49" s="38">
        <v>0.20730000000000001</v>
      </c>
    </row>
    <row r="50" spans="1:6">
      <c r="A50" s="983"/>
      <c r="B50" s="22">
        <v>36</v>
      </c>
      <c r="C50" s="38"/>
      <c r="D50" s="38"/>
      <c r="E50" s="38"/>
      <c r="F50" s="38">
        <v>0.20730000000000001</v>
      </c>
    </row>
    <row r="51" spans="1:6">
      <c r="A51" s="983"/>
      <c r="B51" s="22">
        <v>37</v>
      </c>
      <c r="C51" s="38"/>
      <c r="D51" s="38"/>
      <c r="E51" s="38"/>
      <c r="F51" s="38">
        <v>0.24540000000000001</v>
      </c>
    </row>
    <row r="52" spans="1:6">
      <c r="A52" s="983"/>
      <c r="B52" s="22">
        <v>38</v>
      </c>
      <c r="C52" s="38"/>
      <c r="D52" s="38"/>
      <c r="E52" s="38"/>
      <c r="F52" s="38">
        <v>0.24540000000000001</v>
      </c>
    </row>
    <row r="53" spans="1:6">
      <c r="A53" s="983"/>
      <c r="B53" s="22">
        <v>39</v>
      </c>
      <c r="C53" s="38"/>
      <c r="D53" s="38"/>
      <c r="E53" s="38"/>
      <c r="F53" s="38">
        <v>0.24540000000000001</v>
      </c>
    </row>
    <row r="54" spans="1:6">
      <c r="A54" s="983"/>
      <c r="B54" s="22">
        <v>40</v>
      </c>
      <c r="C54" s="38"/>
      <c r="D54" s="38"/>
      <c r="E54" s="38"/>
      <c r="F54" s="38">
        <v>0.24540000000000001</v>
      </c>
    </row>
    <row r="55" spans="1:6">
      <c r="A55" s="983"/>
      <c r="B55" s="22">
        <v>41</v>
      </c>
      <c r="C55" s="38"/>
      <c r="D55" s="38"/>
      <c r="E55" s="38"/>
      <c r="F55" s="38">
        <v>0.24540000000000001</v>
      </c>
    </row>
    <row r="56" spans="1:6">
      <c r="A56" s="983"/>
      <c r="B56" s="22">
        <v>42</v>
      </c>
      <c r="C56" s="38"/>
      <c r="D56" s="38"/>
      <c r="E56" s="38"/>
      <c r="F56" s="38">
        <v>0.24540000000000001</v>
      </c>
    </row>
    <row r="57" spans="1:6">
      <c r="A57" s="983"/>
      <c r="B57" s="22">
        <v>43</v>
      </c>
      <c r="C57" s="38"/>
      <c r="D57" s="38"/>
      <c r="E57" s="38"/>
      <c r="F57" s="38">
        <v>0.28420000000000001</v>
      </c>
    </row>
    <row r="58" spans="1:6">
      <c r="A58" s="983"/>
      <c r="B58" s="22">
        <v>44</v>
      </c>
      <c r="C58" s="38"/>
      <c r="D58" s="38"/>
      <c r="E58" s="38"/>
      <c r="F58" s="38">
        <v>0.28420000000000001</v>
      </c>
    </row>
    <row r="59" spans="1:6">
      <c r="A59" s="983"/>
      <c r="B59" s="22">
        <v>45</v>
      </c>
      <c r="C59" s="38"/>
      <c r="D59" s="38"/>
      <c r="E59" s="38"/>
      <c r="F59" s="38">
        <v>0.28420000000000001</v>
      </c>
    </row>
    <row r="60" spans="1:6">
      <c r="A60" s="983"/>
      <c r="B60" s="22">
        <v>46</v>
      </c>
      <c r="C60" s="38"/>
      <c r="D60" s="38"/>
      <c r="E60" s="38"/>
      <c r="F60" s="38">
        <v>0.28420000000000001</v>
      </c>
    </row>
    <row r="61" spans="1:6">
      <c r="A61" s="983"/>
      <c r="B61" s="22">
        <v>47</v>
      </c>
      <c r="C61" s="38"/>
      <c r="D61" s="38"/>
      <c r="E61" s="38"/>
      <c r="F61" s="38">
        <v>0.28420000000000001</v>
      </c>
    </row>
    <row r="62" spans="1:6">
      <c r="A62" s="983"/>
      <c r="B62" s="22">
        <v>48</v>
      </c>
      <c r="C62" s="38"/>
      <c r="D62" s="38"/>
      <c r="E62" s="38"/>
      <c r="F62" s="38">
        <v>0.28420000000000001</v>
      </c>
    </row>
    <row r="63" spans="1:6">
      <c r="A63" s="983"/>
      <c r="B63" s="22">
        <v>49</v>
      </c>
      <c r="C63" s="38"/>
      <c r="D63" s="38"/>
      <c r="E63" s="38"/>
      <c r="F63" s="38">
        <v>0.32369999999999999</v>
      </c>
    </row>
    <row r="64" spans="1:6">
      <c r="A64" s="983"/>
      <c r="B64" s="22">
        <v>50</v>
      </c>
      <c r="C64" s="38"/>
      <c r="D64" s="38"/>
      <c r="E64" s="38"/>
      <c r="F64" s="38">
        <v>0.32369999999999999</v>
      </c>
    </row>
    <row r="65" spans="1:6">
      <c r="A65" s="983"/>
      <c r="B65" s="22">
        <v>51</v>
      </c>
      <c r="C65" s="38"/>
      <c r="D65" s="38"/>
      <c r="E65" s="38"/>
      <c r="F65" s="38">
        <v>0.32369999999999999</v>
      </c>
    </row>
    <row r="66" spans="1:6">
      <c r="A66" s="983"/>
      <c r="B66" s="22">
        <v>52</v>
      </c>
      <c r="C66" s="38"/>
      <c r="D66" s="38"/>
      <c r="E66" s="38"/>
      <c r="F66" s="38">
        <v>0.32369999999999999</v>
      </c>
    </row>
    <row r="67" spans="1:6">
      <c r="A67" s="983"/>
      <c r="B67" s="22">
        <v>53</v>
      </c>
      <c r="C67" s="38"/>
      <c r="D67" s="38"/>
      <c r="E67" s="38"/>
      <c r="F67" s="38">
        <v>0.32369999999999999</v>
      </c>
    </row>
    <row r="68" spans="1:6">
      <c r="A68" s="983"/>
      <c r="B68" s="22">
        <v>54</v>
      </c>
      <c r="C68" s="38"/>
      <c r="D68" s="38"/>
      <c r="E68" s="38"/>
      <c r="F68" s="38">
        <v>0.32369999999999999</v>
      </c>
    </row>
    <row r="69" spans="1:6">
      <c r="A69" s="983"/>
      <c r="B69" s="22">
        <v>55</v>
      </c>
      <c r="C69" s="38"/>
      <c r="D69" s="38"/>
      <c r="E69" s="38"/>
      <c r="F69" s="38">
        <v>0.3639</v>
      </c>
    </row>
    <row r="70" spans="1:6">
      <c r="A70" s="983"/>
      <c r="B70" s="22">
        <v>56</v>
      </c>
      <c r="C70" s="38"/>
      <c r="D70" s="38"/>
      <c r="E70" s="38"/>
      <c r="F70" s="38">
        <v>0.3639</v>
      </c>
    </row>
    <row r="71" spans="1:6">
      <c r="A71" s="983"/>
      <c r="B71" s="22">
        <v>57</v>
      </c>
      <c r="C71" s="38"/>
      <c r="D71" s="38"/>
      <c r="E71" s="38"/>
      <c r="F71" s="38">
        <v>0.3639</v>
      </c>
    </row>
    <row r="72" spans="1:6">
      <c r="A72" s="983"/>
      <c r="B72" s="22">
        <v>58</v>
      </c>
      <c r="C72" s="38"/>
      <c r="D72" s="38"/>
      <c r="E72" s="38"/>
      <c r="F72" s="38">
        <v>0.3639</v>
      </c>
    </row>
    <row r="73" spans="1:6">
      <c r="A73" s="983"/>
      <c r="B73" s="22">
        <v>59</v>
      </c>
      <c r="C73" s="38"/>
      <c r="D73" s="38"/>
      <c r="E73" s="38"/>
      <c r="F73" s="38">
        <v>0.3639</v>
      </c>
    </row>
    <row r="74" spans="1:6">
      <c r="A74" s="984"/>
      <c r="B74" s="22">
        <v>60</v>
      </c>
      <c r="C74" s="38"/>
      <c r="D74" s="38"/>
      <c r="E74" s="38"/>
      <c r="F74" s="38">
        <v>0.3639</v>
      </c>
    </row>
    <row r="75" spans="1:6">
      <c r="C75" s="42"/>
      <c r="D75" s="42"/>
      <c r="E75" s="42"/>
      <c r="F75" s="42"/>
    </row>
    <row r="76" spans="1:6">
      <c r="C76" s="42"/>
      <c r="D76" s="42"/>
      <c r="E76" s="42"/>
      <c r="F76" s="42"/>
    </row>
    <row r="77" spans="1:6">
      <c r="C77" s="42"/>
      <c r="D77" s="42"/>
      <c r="E77" s="42"/>
      <c r="F77" s="42"/>
    </row>
    <row r="78" spans="1:6">
      <c r="C78" s="42"/>
      <c r="D78" s="42"/>
      <c r="E78" s="42"/>
      <c r="F78" s="42"/>
    </row>
    <row r="79" spans="1:6">
      <c r="C79" s="42"/>
      <c r="D79" s="42"/>
      <c r="E79" s="42"/>
      <c r="F79" s="42"/>
    </row>
    <row r="80" spans="1:6">
      <c r="C80" s="42"/>
      <c r="D80" s="42"/>
      <c r="E80" s="42"/>
      <c r="F80" s="42"/>
    </row>
    <row r="81" spans="3:6">
      <c r="C81" s="42"/>
      <c r="D81" s="42"/>
      <c r="E81" s="42"/>
      <c r="F81" s="42"/>
    </row>
    <row r="82" spans="3:6">
      <c r="C82" s="42"/>
      <c r="D82" s="42"/>
      <c r="E82" s="42"/>
      <c r="F82" s="42"/>
    </row>
    <row r="83" spans="3:6">
      <c r="C83" s="42"/>
      <c r="D83" s="42"/>
      <c r="E83" s="42"/>
      <c r="F83" s="42"/>
    </row>
    <row r="84" spans="3:6">
      <c r="C84" s="42"/>
      <c r="D84" s="42"/>
      <c r="E84" s="42"/>
      <c r="F84" s="42"/>
    </row>
    <row r="85" spans="3:6">
      <c r="C85" s="42"/>
      <c r="D85" s="42"/>
      <c r="E85" s="42"/>
      <c r="F85" s="42"/>
    </row>
    <row r="86" spans="3:6">
      <c r="C86" s="42"/>
      <c r="D86" s="42"/>
      <c r="E86" s="42"/>
      <c r="F86" s="42"/>
    </row>
    <row r="87" spans="3:6">
      <c r="C87" s="42"/>
      <c r="D87" s="42"/>
      <c r="E87" s="42"/>
      <c r="F87" s="42"/>
    </row>
    <row r="88" spans="3:6">
      <c r="C88" s="42"/>
      <c r="D88" s="42"/>
      <c r="E88" s="42"/>
      <c r="F88" s="42"/>
    </row>
    <row r="89" spans="3:6">
      <c r="C89" s="42"/>
      <c r="D89" s="42"/>
      <c r="E89" s="42"/>
      <c r="F89" s="42"/>
    </row>
    <row r="90" spans="3:6">
      <c r="C90" s="42"/>
      <c r="D90" s="42"/>
      <c r="E90" s="42"/>
      <c r="F90" s="42"/>
    </row>
  </sheetData>
  <sheetProtection password="F4F5" sheet="1" objects="1" scenarios="1" selectLockedCells="1" selectUnlockedCells="1"/>
  <mergeCells count="4">
    <mergeCell ref="B4:G4"/>
    <mergeCell ref="B6:G6"/>
    <mergeCell ref="A15:A74"/>
    <mergeCell ref="C11:F11"/>
  </mergeCells>
  <phoneticPr fontId="0" type="noConversion"/>
  <printOptions horizontalCentered="1" verticalCentered="1"/>
  <pageMargins left="0.78740157480314965" right="0.78740157480314965" top="0.39370078740157483" bottom="0.39370078740157483" header="0" footer="0"/>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sheetPr codeName="Hoja6">
    <tabColor indexed="10"/>
    <pageSetUpPr fitToPage="1"/>
  </sheetPr>
  <dimension ref="A2:AK57"/>
  <sheetViews>
    <sheetView topLeftCell="AL13" zoomScale="85" zoomScaleNormal="85" workbookViewId="0">
      <selection activeCell="AK16" sqref="A1:AK65536"/>
    </sheetView>
  </sheetViews>
  <sheetFormatPr baseColWidth="10" defaultColWidth="9.33203125" defaultRowHeight="12.75"/>
  <cols>
    <col min="1" max="1" width="12" style="75" hidden="1" customWidth="1"/>
    <col min="2" max="2" width="25.5" style="75" hidden="1" customWidth="1"/>
    <col min="3" max="3" width="18.83203125" style="75" hidden="1" customWidth="1"/>
    <col min="4" max="4" width="15.1640625" style="75" hidden="1" customWidth="1"/>
    <col min="5" max="5" width="17.33203125" style="75" hidden="1" customWidth="1"/>
    <col min="6" max="6" width="17.83203125" style="75" hidden="1" customWidth="1"/>
    <col min="7" max="7" width="16.1640625" style="75" hidden="1" customWidth="1"/>
    <col min="8" max="8" width="14" style="75" hidden="1" customWidth="1"/>
    <col min="9" max="10" width="10.5" style="75" hidden="1" customWidth="1"/>
    <col min="11" max="11" width="16.83203125" style="75" hidden="1" customWidth="1"/>
    <col min="12" max="12" width="18.5" style="75" hidden="1" customWidth="1"/>
    <col min="13" max="13" width="15.1640625" style="75" hidden="1" customWidth="1"/>
    <col min="14" max="14" width="16.33203125" style="75" hidden="1" customWidth="1"/>
    <col min="15" max="15" width="16.83203125" style="75" hidden="1" customWidth="1"/>
    <col min="16" max="16" width="15.6640625" style="75" hidden="1" customWidth="1"/>
    <col min="17" max="17" width="14.83203125" style="75" hidden="1" customWidth="1"/>
    <col min="18" max="18" width="17.6640625" style="75" hidden="1" customWidth="1"/>
    <col min="19" max="19" width="12" style="75" hidden="1" customWidth="1"/>
    <col min="20" max="23" width="14.33203125" style="75" hidden="1" customWidth="1"/>
    <col min="24" max="24" width="12.33203125" style="75" hidden="1" customWidth="1"/>
    <col min="25" max="25" width="9.33203125" style="75" hidden="1" customWidth="1"/>
    <col min="26" max="32" width="9.33203125" style="76" hidden="1" customWidth="1"/>
    <col min="33" max="37" width="9.33203125" style="75" hidden="1" customWidth="1"/>
    <col min="38" max="16384" width="9.33203125" style="75"/>
  </cols>
  <sheetData>
    <row r="2" spans="1:30" ht="25.5">
      <c r="A2" s="986" t="s">
        <v>137</v>
      </c>
      <c r="B2" s="986"/>
      <c r="C2" s="986"/>
      <c r="D2" s="986"/>
      <c r="E2" s="986"/>
      <c r="F2" s="986"/>
      <c r="G2" s="986"/>
      <c r="H2" s="986"/>
    </row>
    <row r="3" spans="1:30" ht="25.5">
      <c r="B3" s="986" t="s">
        <v>136</v>
      </c>
      <c r="C3" s="986"/>
      <c r="D3" s="986"/>
      <c r="E3" s="986"/>
      <c r="F3" s="986"/>
      <c r="G3" s="986"/>
    </row>
    <row r="4" spans="1:30">
      <c r="B4" s="120"/>
      <c r="X4" s="139">
        <v>38875</v>
      </c>
    </row>
    <row r="5" spans="1:30" ht="13.5" thickBot="1"/>
    <row r="6" spans="1:30" ht="13.5" thickBot="1">
      <c r="B6" s="987" t="s">
        <v>135</v>
      </c>
      <c r="C6" s="988"/>
      <c r="E6" s="138" t="s">
        <v>134</v>
      </c>
      <c r="F6" s="138"/>
      <c r="G6" s="138"/>
      <c r="H6" s="138"/>
      <c r="I6" s="138"/>
      <c r="J6" s="138"/>
      <c r="K6" s="137"/>
    </row>
    <row r="7" spans="1:30" ht="13.5" thickBot="1">
      <c r="B7" s="136" t="s">
        <v>29</v>
      </c>
      <c r="C7" s="135">
        <v>12</v>
      </c>
      <c r="E7" s="109" t="s">
        <v>133</v>
      </c>
      <c r="F7" s="109"/>
      <c r="G7" s="134" t="s">
        <v>98</v>
      </c>
      <c r="H7" s="134"/>
      <c r="I7" s="134"/>
      <c r="J7" s="134"/>
      <c r="K7" s="134" t="s">
        <v>132</v>
      </c>
      <c r="AA7" s="76" t="s">
        <v>68</v>
      </c>
      <c r="AB7" s="76" t="s">
        <v>65</v>
      </c>
      <c r="AC7" s="76" t="s">
        <v>66</v>
      </c>
    </row>
    <row r="8" spans="1:30" ht="13.5" thickBot="1">
      <c r="B8" s="128" t="s">
        <v>68</v>
      </c>
      <c r="C8" s="127" t="s">
        <v>113</v>
      </c>
      <c r="E8" s="133" t="s">
        <v>97</v>
      </c>
      <c r="F8" s="132"/>
      <c r="G8" s="131">
        <v>400</v>
      </c>
      <c r="H8" s="130"/>
      <c r="I8" s="130"/>
      <c r="J8" s="130"/>
      <c r="K8" s="129">
        <v>250</v>
      </c>
      <c r="AA8" s="76" t="s">
        <v>65</v>
      </c>
      <c r="AB8" s="78" t="s">
        <v>9</v>
      </c>
      <c r="AC8" s="78" t="s">
        <v>50</v>
      </c>
      <c r="AD8" s="78" t="s">
        <v>65</v>
      </c>
    </row>
    <row r="9" spans="1:30">
      <c r="B9" s="128" t="s">
        <v>67</v>
      </c>
      <c r="C9" s="127" t="str">
        <f>Cotizador!D9</f>
        <v>F-250</v>
      </c>
      <c r="E9" s="109" t="s">
        <v>131</v>
      </c>
      <c r="F9" s="109"/>
      <c r="G9" s="123">
        <v>0.27500000000000002</v>
      </c>
      <c r="H9" s="109"/>
      <c r="I9" s="109"/>
      <c r="J9" s="109"/>
      <c r="K9" s="123">
        <v>0.27500000000000002</v>
      </c>
      <c r="AA9" s="76" t="s">
        <v>66</v>
      </c>
      <c r="AB9" s="78" t="s">
        <v>42</v>
      </c>
      <c r="AC9" s="78"/>
      <c r="AD9" s="78" t="s">
        <v>66</v>
      </c>
    </row>
    <row r="10" spans="1:30" ht="14.25" thickBot="1">
      <c r="B10" s="126" t="s">
        <v>72</v>
      </c>
      <c r="C10" s="125">
        <f>Cotizador!D17</f>
        <v>184100</v>
      </c>
      <c r="E10" s="109" t="s">
        <v>130</v>
      </c>
      <c r="F10" s="109"/>
      <c r="G10" s="123">
        <v>0.27500000000000002</v>
      </c>
      <c r="H10" s="109"/>
      <c r="I10" s="109"/>
      <c r="J10" s="109"/>
      <c r="K10" s="123">
        <v>0.27500000000000002</v>
      </c>
      <c r="AB10" s="124" t="s">
        <v>129</v>
      </c>
      <c r="AC10" s="78" t="s">
        <v>42</v>
      </c>
      <c r="AD10" s="78" t="s">
        <v>65</v>
      </c>
    </row>
    <row r="11" spans="1:30">
      <c r="C11" s="75" t="s">
        <v>128</v>
      </c>
      <c r="E11" s="109" t="s">
        <v>127</v>
      </c>
      <c r="F11" s="109" t="s">
        <v>126</v>
      </c>
      <c r="G11" s="123">
        <v>1</v>
      </c>
      <c r="H11" s="109"/>
      <c r="I11" s="109"/>
      <c r="J11" s="109"/>
      <c r="K11" s="123">
        <v>0.1258</v>
      </c>
      <c r="AB11" s="76" t="s">
        <v>105</v>
      </c>
      <c r="AD11" s="76" t="s">
        <v>65</v>
      </c>
    </row>
    <row r="12" spans="1:30">
      <c r="E12" s="109" t="s">
        <v>125</v>
      </c>
      <c r="F12" s="109" t="s">
        <v>124</v>
      </c>
      <c r="G12" s="123">
        <v>1</v>
      </c>
      <c r="H12" s="109"/>
      <c r="I12" s="109"/>
      <c r="J12" s="109"/>
      <c r="K12" s="123">
        <v>-0.23100000000000001</v>
      </c>
      <c r="AB12" s="78" t="s">
        <v>17</v>
      </c>
      <c r="AC12" s="78" t="s">
        <v>44</v>
      </c>
      <c r="AD12" s="78" t="s">
        <v>65</v>
      </c>
    </row>
    <row r="13" spans="1:30" ht="14.25" thickBot="1">
      <c r="I13" s="115"/>
      <c r="AB13" s="78" t="s">
        <v>2</v>
      </c>
      <c r="AC13" s="78" t="s">
        <v>46</v>
      </c>
      <c r="AD13" s="78" t="s">
        <v>65</v>
      </c>
    </row>
    <row r="14" spans="1:30" ht="14.25" thickBot="1">
      <c r="B14" s="122" t="s">
        <v>108</v>
      </c>
      <c r="C14" s="121"/>
      <c r="D14" s="991" t="s">
        <v>123</v>
      </c>
      <c r="E14" s="992"/>
      <c r="F14" s="992"/>
      <c r="G14" s="993"/>
      <c r="I14" s="115"/>
      <c r="AB14" s="78" t="s">
        <v>18</v>
      </c>
      <c r="AC14" s="78" t="s">
        <v>55</v>
      </c>
      <c r="AD14" s="78" t="s">
        <v>65</v>
      </c>
    </row>
    <row r="15" spans="1:30">
      <c r="AB15" s="78" t="s">
        <v>11</v>
      </c>
      <c r="AC15" s="78" t="s">
        <v>48</v>
      </c>
      <c r="AD15" s="78" t="s">
        <v>65</v>
      </c>
    </row>
    <row r="16" spans="1:30">
      <c r="B16" s="120"/>
      <c r="C16" s="119" t="s">
        <v>57</v>
      </c>
      <c r="D16" s="118" t="s">
        <v>58</v>
      </c>
      <c r="E16" s="118" t="s">
        <v>59</v>
      </c>
      <c r="F16" s="118" t="s">
        <v>60</v>
      </c>
      <c r="G16" s="118" t="s">
        <v>61</v>
      </c>
      <c r="AB16" s="78" t="s">
        <v>1</v>
      </c>
      <c r="AC16" s="78" t="s">
        <v>52</v>
      </c>
      <c r="AD16" s="78" t="s">
        <v>65</v>
      </c>
    </row>
    <row r="17" spans="2:32" ht="13.5">
      <c r="B17" s="112" t="s">
        <v>73</v>
      </c>
      <c r="C17" s="117">
        <f>J25</f>
        <v>12</v>
      </c>
      <c r="D17" s="116">
        <f>J26</f>
        <v>12</v>
      </c>
      <c r="E17" s="116">
        <f>J27</f>
        <v>12</v>
      </c>
      <c r="F17" s="116">
        <f>J28</f>
        <v>12</v>
      </c>
      <c r="G17" s="116">
        <f>J29</f>
        <v>12</v>
      </c>
      <c r="J17" s="115"/>
      <c r="AB17" s="76" t="s">
        <v>106</v>
      </c>
      <c r="AD17" s="78" t="s">
        <v>66</v>
      </c>
    </row>
    <row r="18" spans="2:32">
      <c r="B18" s="112" t="s">
        <v>69</v>
      </c>
      <c r="C18" s="114">
        <f>K25</f>
        <v>1</v>
      </c>
      <c r="D18" s="113">
        <f>K26</f>
        <v>1</v>
      </c>
      <c r="E18" s="113">
        <f>K27</f>
        <v>2</v>
      </c>
      <c r="F18" s="113">
        <f>K28</f>
        <v>4</v>
      </c>
      <c r="G18" s="113">
        <f>K29</f>
        <v>12</v>
      </c>
      <c r="AB18" s="76" t="s">
        <v>109</v>
      </c>
      <c r="AD18" s="78" t="s">
        <v>66</v>
      </c>
    </row>
    <row r="19" spans="2:32">
      <c r="B19" s="112" t="s">
        <v>70</v>
      </c>
      <c r="C19" s="111">
        <f>X25</f>
        <v>9894.7303999999986</v>
      </c>
      <c r="D19" s="110">
        <f>X26/K26</f>
        <v>9894.7303999999986</v>
      </c>
      <c r="E19" s="110">
        <f>X27/K27</f>
        <v>4947.3651999999993</v>
      </c>
      <c r="F19" s="110">
        <f>X28/K28</f>
        <v>2473.6825999999996</v>
      </c>
      <c r="G19" s="110">
        <f>X29/K29</f>
        <v>824.56086666666658</v>
      </c>
      <c r="AB19" s="78" t="s">
        <v>44</v>
      </c>
      <c r="AC19" s="78"/>
      <c r="AD19" s="78" t="s">
        <v>66</v>
      </c>
    </row>
    <row r="20" spans="2:32">
      <c r="B20" s="112" t="s">
        <v>71</v>
      </c>
      <c r="C20" s="111">
        <f>C19/K25</f>
        <v>9894.7303999999986</v>
      </c>
      <c r="D20" s="110">
        <f>X26</f>
        <v>9894.7303999999986</v>
      </c>
      <c r="E20" s="110">
        <f>X27</f>
        <v>9894.7303999999986</v>
      </c>
      <c r="F20" s="110">
        <f>X28</f>
        <v>9894.7303999999986</v>
      </c>
      <c r="G20" s="110">
        <f>X29</f>
        <v>9894.7303999999986</v>
      </c>
      <c r="AB20" s="78" t="s">
        <v>46</v>
      </c>
      <c r="AC20" s="78"/>
      <c r="AD20" s="78" t="s">
        <v>66</v>
      </c>
    </row>
    <row r="21" spans="2:32">
      <c r="C21" s="79"/>
      <c r="D21" s="79"/>
      <c r="AB21" s="78" t="s">
        <v>52</v>
      </c>
      <c r="AC21" s="78"/>
      <c r="AD21" s="78" t="s">
        <v>66</v>
      </c>
    </row>
    <row r="22" spans="2:32">
      <c r="B22" s="109" t="s">
        <v>64</v>
      </c>
      <c r="C22" s="108">
        <f>ROUND($C$10*VLOOKUP($C$9,'Cuotas AXA un año'!$A$7:$D$34,3,FALSE)/100+VLOOKUP($C$9,'Cuotas AXA un año'!$A$7:$D$34,4,FALSE),2)</f>
        <v>8129.94</v>
      </c>
      <c r="AB22" s="80" t="s">
        <v>13</v>
      </c>
      <c r="AC22" s="80" t="s">
        <v>13</v>
      </c>
      <c r="AD22" s="80" t="s">
        <v>65</v>
      </c>
    </row>
    <row r="23" spans="2:32" s="84" customFormat="1">
      <c r="B23" s="86"/>
      <c r="C23" s="86"/>
      <c r="N23" s="85"/>
      <c r="S23" s="85"/>
      <c r="Z23" s="87"/>
      <c r="AA23" s="87"/>
      <c r="AB23" s="83" t="s">
        <v>40</v>
      </c>
      <c r="AC23" s="83" t="s">
        <v>56</v>
      </c>
      <c r="AD23" s="83" t="s">
        <v>65</v>
      </c>
      <c r="AE23" s="87"/>
      <c r="AF23" s="87"/>
    </row>
    <row r="24" spans="2:32" s="81" customFormat="1" ht="38.25">
      <c r="B24" s="107" t="s">
        <v>72</v>
      </c>
      <c r="C24" s="107" t="s">
        <v>91</v>
      </c>
      <c r="D24" s="107" t="s">
        <v>92</v>
      </c>
      <c r="E24" s="107" t="s">
        <v>93</v>
      </c>
      <c r="F24" s="107" t="s">
        <v>76</v>
      </c>
      <c r="G24" s="107" t="s">
        <v>94</v>
      </c>
      <c r="H24" s="989" t="s">
        <v>77</v>
      </c>
      <c r="I24" s="989"/>
      <c r="J24" s="107" t="s">
        <v>62</v>
      </c>
      <c r="K24" s="107" t="s">
        <v>63</v>
      </c>
      <c r="L24" s="107" t="s">
        <v>95</v>
      </c>
      <c r="M24" s="107" t="s">
        <v>76</v>
      </c>
      <c r="N24" s="107" t="s">
        <v>86</v>
      </c>
      <c r="O24" s="107" t="s">
        <v>96</v>
      </c>
      <c r="P24" s="107" t="s">
        <v>74</v>
      </c>
      <c r="Q24" s="107" t="s">
        <v>75</v>
      </c>
      <c r="R24" s="107" t="s">
        <v>87</v>
      </c>
      <c r="S24" s="107" t="s">
        <v>88</v>
      </c>
      <c r="T24" s="107" t="s">
        <v>89</v>
      </c>
      <c r="U24" s="107" t="s">
        <v>101</v>
      </c>
      <c r="V24" s="107" t="s">
        <v>102</v>
      </c>
      <c r="W24" s="107" t="s">
        <v>99</v>
      </c>
      <c r="X24" s="107" t="s">
        <v>100</v>
      </c>
      <c r="Z24" s="82"/>
      <c r="AA24" s="82"/>
      <c r="AB24" s="83" t="s">
        <v>15</v>
      </c>
      <c r="AC24" s="83" t="s">
        <v>54</v>
      </c>
      <c r="AD24" s="83" t="s">
        <v>65</v>
      </c>
      <c r="AE24" s="82"/>
      <c r="AF24" s="82"/>
    </row>
    <row r="25" spans="2:32" s="81" customFormat="1">
      <c r="B25" s="105">
        <f>$C$10</f>
        <v>184100</v>
      </c>
      <c r="C25" s="102">
        <f>VLOOKUP($C$9,'Cuotas AXA un año'!$A$7:$D$34,3,FALSE)</f>
        <v>2.8927999999999998</v>
      </c>
      <c r="D25" s="102">
        <f>ROUND(B25*C25/100,2)</f>
        <v>5325.64</v>
      </c>
      <c r="E25" s="102">
        <f>VLOOKUP($C$9,'Cuotas AXA un año'!$A$7:$D$34,4,FALSE)</f>
        <v>2804.3</v>
      </c>
      <c r="F25" s="105">
        <f>D25+E25</f>
        <v>8129.9400000000005</v>
      </c>
      <c r="G25" s="81" t="s">
        <v>57</v>
      </c>
      <c r="H25" s="81">
        <f>$C$7/$C$7</f>
        <v>1</v>
      </c>
      <c r="I25" s="81">
        <f>INT(H25)</f>
        <v>1</v>
      </c>
      <c r="J25" s="81">
        <f>$C$7*I25</f>
        <v>12</v>
      </c>
      <c r="K25" s="81">
        <v>1</v>
      </c>
      <c r="L25" s="81">
        <f>VLOOKUP(J25,'TABLA FACTOR LP AXA un año '!$A$11:$B$70,2,FALSE)</f>
        <v>1</v>
      </c>
      <c r="M25" s="102">
        <f>ROUND(F25*L25,2)</f>
        <v>8129.94</v>
      </c>
      <c r="N25" s="102">
        <f>M25*$G$9</f>
        <v>2235.7335000000003</v>
      </c>
      <c r="O25" s="102"/>
      <c r="P25" s="102">
        <f>M25+O25</f>
        <v>8129.94</v>
      </c>
      <c r="Q25" s="104">
        <f>VLOOKUP(K25,'TABLA RECARGO P FRACC AXA un añ'!$B$15:$F$74,2,FALSE)</f>
        <v>0</v>
      </c>
      <c r="R25" s="103">
        <f>P25*Q25</f>
        <v>0</v>
      </c>
      <c r="S25" s="103">
        <f>R25*$G$10</f>
        <v>0</v>
      </c>
      <c r="T25" s="102">
        <f>P25+R25</f>
        <v>8129.94</v>
      </c>
      <c r="U25" s="102">
        <f>$G$8</f>
        <v>400</v>
      </c>
      <c r="V25" s="102">
        <f>T25+U25</f>
        <v>8529.9399999999987</v>
      </c>
      <c r="W25" s="102">
        <f>V25*0.16</f>
        <v>1364.7903999999999</v>
      </c>
      <c r="X25" s="102">
        <f>V25+W25</f>
        <v>9894.7303999999986</v>
      </c>
      <c r="Z25" s="82"/>
      <c r="AA25" s="82"/>
      <c r="AB25" s="83" t="s">
        <v>111</v>
      </c>
      <c r="AC25" s="83"/>
      <c r="AD25" s="83" t="s">
        <v>66</v>
      </c>
      <c r="AE25" s="82"/>
      <c r="AF25" s="82"/>
    </row>
    <row r="26" spans="2:32" s="81" customFormat="1">
      <c r="B26" s="105">
        <f>$C$10</f>
        <v>184100</v>
      </c>
      <c r="C26" s="102">
        <f>VLOOKUP($C$9,'Cuotas AXA un año'!$A$7:$D$34,3,FALSE)</f>
        <v>2.8927999999999998</v>
      </c>
      <c r="D26" s="102">
        <f>ROUND(B26*C26/100,2)</f>
        <v>5325.64</v>
      </c>
      <c r="E26" s="102">
        <f>VLOOKUP($C$9,'Cuotas AXA un año'!$A$7:$D$34,4,FALSE)</f>
        <v>2804.3</v>
      </c>
      <c r="F26" s="105">
        <f>D26+E26</f>
        <v>8129.9400000000005</v>
      </c>
      <c r="G26" s="81" t="s">
        <v>58</v>
      </c>
      <c r="H26" s="81">
        <f>$C$7/12</f>
        <v>1</v>
      </c>
      <c r="I26" s="81">
        <f>INT(H26)</f>
        <v>1</v>
      </c>
      <c r="J26" s="81">
        <f>IF(I26-H26=0,I26*12,(I26+1)*12)</f>
        <v>12</v>
      </c>
      <c r="K26" s="81">
        <f>J26/12</f>
        <v>1</v>
      </c>
      <c r="L26" s="81">
        <f>VLOOKUP(J26,'TABLA FACTOR LP AXA un año '!$A$11:$B$70,2,FALSE)</f>
        <v>1</v>
      </c>
      <c r="M26" s="102">
        <f>ROUND(F26*L26,2)</f>
        <v>8129.94</v>
      </c>
      <c r="N26" s="102">
        <f>M26*$G$9</f>
        <v>2235.7335000000003</v>
      </c>
      <c r="O26" s="102"/>
      <c r="P26" s="102">
        <f>M26+O26</f>
        <v>8129.94</v>
      </c>
      <c r="Q26" s="104">
        <f>VLOOKUP(K26,'TABLA RECARGO P FRACC AXA un añ'!$B$15:$F$74,2,FALSE)</f>
        <v>0</v>
      </c>
      <c r="R26" s="103">
        <f>P26*Q26</f>
        <v>0</v>
      </c>
      <c r="S26" s="103">
        <f>R26*$G$10</f>
        <v>0</v>
      </c>
      <c r="T26" s="102">
        <f>P26+R26</f>
        <v>8129.94</v>
      </c>
      <c r="U26" s="102">
        <f>$G$8</f>
        <v>400</v>
      </c>
      <c r="V26" s="102">
        <f>T26+U26</f>
        <v>8529.9399999999987</v>
      </c>
      <c r="W26" s="102">
        <f>V26*0.16</f>
        <v>1364.7903999999999</v>
      </c>
      <c r="X26" s="102">
        <f>V26+W26</f>
        <v>9894.7303999999986</v>
      </c>
      <c r="Z26" s="82"/>
      <c r="AA26" s="82"/>
      <c r="AB26" s="82" t="s">
        <v>104</v>
      </c>
      <c r="AC26" s="82"/>
      <c r="AD26" s="82" t="s">
        <v>65</v>
      </c>
      <c r="AE26" s="82"/>
      <c r="AF26" s="82"/>
    </row>
    <row r="27" spans="2:32" s="81" customFormat="1" ht="13.5">
      <c r="B27" s="105">
        <f>$C$10</f>
        <v>184100</v>
      </c>
      <c r="C27" s="102">
        <f>VLOOKUP($C$9,'Cuotas AXA un año'!$A$7:$D$34,3,FALSE)</f>
        <v>2.8927999999999998</v>
      </c>
      <c r="D27" s="102">
        <f>ROUND(B27*C27/100,2)</f>
        <v>5325.64</v>
      </c>
      <c r="E27" s="102">
        <f>VLOOKUP($C$9,'Cuotas AXA un año'!$A$7:$D$34,4,FALSE)</f>
        <v>2804.3</v>
      </c>
      <c r="F27" s="105">
        <f>D27+E27</f>
        <v>8129.9400000000005</v>
      </c>
      <c r="G27" s="81" t="s">
        <v>59</v>
      </c>
      <c r="H27" s="81">
        <f>IF($C$7/6&lt;=1,"",$C$7/6)</f>
        <v>2</v>
      </c>
      <c r="I27" s="81">
        <f>INT(H27)</f>
        <v>2</v>
      </c>
      <c r="J27" s="81">
        <f>IF(I27-H27=0,I27*6,(I27+1)*6)</f>
        <v>12</v>
      </c>
      <c r="K27" s="81">
        <f>J27/6</f>
        <v>2</v>
      </c>
      <c r="L27" s="81">
        <f>VLOOKUP(J27,'TABLA FACTOR LP AXA un año '!$A$11:$B$70,2,FALSE)</f>
        <v>1</v>
      </c>
      <c r="M27" s="102">
        <f>ROUND(F27*L27,2)</f>
        <v>8129.94</v>
      </c>
      <c r="N27" s="102">
        <f>M27*$G$9</f>
        <v>2235.7335000000003</v>
      </c>
      <c r="O27" s="102"/>
      <c r="P27" s="102">
        <f>M27+O27</f>
        <v>8129.94</v>
      </c>
      <c r="Q27" s="104">
        <f>VLOOKUP(K27,'TABLA RECARGO P FRACC AXA un añ'!$B$15:$F$74,3,FALSE)</f>
        <v>0</v>
      </c>
      <c r="R27" s="103">
        <f>P27*Q27</f>
        <v>0</v>
      </c>
      <c r="S27" s="103">
        <f>R27*$G$10</f>
        <v>0</v>
      </c>
      <c r="T27" s="102">
        <f>P27+R27</f>
        <v>8129.94</v>
      </c>
      <c r="U27" s="102">
        <f>$G$8</f>
        <v>400</v>
      </c>
      <c r="V27" s="102">
        <f>T27+U27</f>
        <v>8529.9399999999987</v>
      </c>
      <c r="W27" s="102">
        <f>V27*0.16</f>
        <v>1364.7903999999999</v>
      </c>
      <c r="X27" s="102">
        <f>V27+W27</f>
        <v>9894.7303999999986</v>
      </c>
      <c r="Z27" s="82"/>
      <c r="AA27" s="82"/>
      <c r="AB27" s="106" t="s">
        <v>112</v>
      </c>
      <c r="AC27" s="82"/>
      <c r="AD27" s="82" t="s">
        <v>65</v>
      </c>
      <c r="AE27" s="82"/>
      <c r="AF27" s="82"/>
    </row>
    <row r="28" spans="2:32" s="81" customFormat="1" ht="13.5">
      <c r="B28" s="105">
        <f>$C$10</f>
        <v>184100</v>
      </c>
      <c r="C28" s="102">
        <f>VLOOKUP($C$9,'Cuotas AXA un año'!$A$7:$D$34,3,FALSE)</f>
        <v>2.8927999999999998</v>
      </c>
      <c r="D28" s="102">
        <f>ROUND(B28*C28/100,2)</f>
        <v>5325.64</v>
      </c>
      <c r="E28" s="102">
        <f>VLOOKUP($C$9,'Cuotas AXA un año'!$A$7:$D$34,4,FALSE)</f>
        <v>2804.3</v>
      </c>
      <c r="F28" s="105">
        <f>D28+E28</f>
        <v>8129.9400000000005</v>
      </c>
      <c r="G28" s="81" t="s">
        <v>60</v>
      </c>
      <c r="H28" s="81">
        <f>IF($C$7/3&lt;=3,"",$C$7/3)</f>
        <v>4</v>
      </c>
      <c r="I28" s="81">
        <f>INT(H28)</f>
        <v>4</v>
      </c>
      <c r="J28" s="81">
        <f>IF(I28-H28=0,I28*3,(I28+1)*3)</f>
        <v>12</v>
      </c>
      <c r="K28" s="81">
        <f>J28/3</f>
        <v>4</v>
      </c>
      <c r="L28" s="81">
        <f>VLOOKUP(J28,'TABLA FACTOR LP AXA un año '!$A$11:$B$70,2,FALSE)</f>
        <v>1</v>
      </c>
      <c r="M28" s="102">
        <f>ROUND(F28*L28,2)</f>
        <v>8129.94</v>
      </c>
      <c r="N28" s="102">
        <f>M28*$G$9</f>
        <v>2235.7335000000003</v>
      </c>
      <c r="O28" s="102"/>
      <c r="P28" s="102">
        <f>M28+O28</f>
        <v>8129.94</v>
      </c>
      <c r="Q28" s="104">
        <f>VLOOKUP(K28,'TABLA RECARGO P FRACC AXA un añ'!$B$15:$F$74,4,FALSE)</f>
        <v>0</v>
      </c>
      <c r="R28" s="103">
        <f>P28*Q28</f>
        <v>0</v>
      </c>
      <c r="S28" s="103">
        <f>R28*$G$10</f>
        <v>0</v>
      </c>
      <c r="T28" s="102">
        <f>P28+R28</f>
        <v>8129.94</v>
      </c>
      <c r="U28" s="102">
        <f>$G$8</f>
        <v>400</v>
      </c>
      <c r="V28" s="102">
        <f>T28+U28</f>
        <v>8529.9399999999987</v>
      </c>
      <c r="W28" s="102">
        <f>V28*0.16</f>
        <v>1364.7903999999999</v>
      </c>
      <c r="X28" s="102">
        <f>V28+W28</f>
        <v>9894.7303999999986</v>
      </c>
      <c r="Z28" s="82"/>
      <c r="AA28" s="82"/>
      <c r="AB28" s="106" t="s">
        <v>122</v>
      </c>
      <c r="AC28" s="90"/>
      <c r="AD28" s="90"/>
      <c r="AE28" s="82"/>
      <c r="AF28" s="82"/>
    </row>
    <row r="29" spans="2:32" s="81" customFormat="1">
      <c r="B29" s="105">
        <f>$C$10</f>
        <v>184100</v>
      </c>
      <c r="C29" s="102">
        <f>VLOOKUP($C$9,'Cuotas AXA un año'!$A$7:$D$34,3,FALSE)</f>
        <v>2.8927999999999998</v>
      </c>
      <c r="D29" s="102">
        <f>ROUND(B29*C29/100,2)</f>
        <v>5325.64</v>
      </c>
      <c r="E29" s="102">
        <f>VLOOKUP($C$9,'Cuotas AXA un año'!$A$7:$D$34,4,FALSE)</f>
        <v>2804.3</v>
      </c>
      <c r="F29" s="105">
        <f>D29+E29</f>
        <v>8129.9400000000005</v>
      </c>
      <c r="G29" s="81" t="s">
        <v>61</v>
      </c>
      <c r="H29" s="81">
        <f>IF($C$7/3&lt;=3,"",$C$7/1)</f>
        <v>12</v>
      </c>
      <c r="I29" s="81">
        <f>INT(H29)</f>
        <v>12</v>
      </c>
      <c r="J29" s="81">
        <f>I29*1</f>
        <v>12</v>
      </c>
      <c r="K29" s="81">
        <f>J29/1</f>
        <v>12</v>
      </c>
      <c r="L29" s="81">
        <f>VLOOKUP(J29,'TABLA FACTOR LP AXA un año '!$A$11:$B$70,2,FALSE)</f>
        <v>1</v>
      </c>
      <c r="M29" s="102">
        <f>ROUND(F29*L29,2)</f>
        <v>8129.94</v>
      </c>
      <c r="N29" s="102">
        <f>M29*$G$9</f>
        <v>2235.7335000000003</v>
      </c>
      <c r="O29" s="102"/>
      <c r="P29" s="102">
        <f>M29+O29</f>
        <v>8129.94</v>
      </c>
      <c r="Q29" s="104">
        <f>VLOOKUP(K29,'TABLA RECARGO P FRACC AXA un añ'!$B$15:$F$74,5,FALSE)</f>
        <v>0</v>
      </c>
      <c r="R29" s="103">
        <f>P29*Q29</f>
        <v>0</v>
      </c>
      <c r="S29" s="103">
        <f>R29*$G$10</f>
        <v>0</v>
      </c>
      <c r="T29" s="102">
        <f>P29+R29</f>
        <v>8129.94</v>
      </c>
      <c r="U29" s="102">
        <f>$G$8</f>
        <v>400</v>
      </c>
      <c r="V29" s="102">
        <f>T29+U29</f>
        <v>8529.9399999999987</v>
      </c>
      <c r="W29" s="102">
        <f>V29*0.16</f>
        <v>1364.7903999999999</v>
      </c>
      <c r="X29" s="102">
        <f>V29+W29</f>
        <v>9894.7303999999986</v>
      </c>
      <c r="Z29" s="82"/>
      <c r="AA29" s="82"/>
      <c r="AB29" s="90" t="s">
        <v>22</v>
      </c>
      <c r="AC29" s="90"/>
      <c r="AD29" s="90" t="s">
        <v>65</v>
      </c>
      <c r="AE29" s="82"/>
      <c r="AF29" s="82"/>
    </row>
    <row r="30" spans="2:32" s="84" customFormat="1" ht="13.5" thickBot="1">
      <c r="B30" s="99"/>
      <c r="C30" s="100"/>
      <c r="D30" s="96"/>
      <c r="E30" s="99"/>
      <c r="F30" s="99"/>
      <c r="M30" s="96"/>
      <c r="N30" s="96"/>
      <c r="O30" s="96"/>
      <c r="P30" s="96"/>
      <c r="Q30" s="98"/>
      <c r="R30" s="97"/>
      <c r="S30" s="97"/>
      <c r="T30" s="96"/>
      <c r="U30" s="96"/>
      <c r="V30" s="96"/>
      <c r="W30" s="96"/>
      <c r="X30" s="96"/>
      <c r="Z30" s="87"/>
      <c r="AA30" s="87"/>
      <c r="AB30" s="90" t="s">
        <v>4</v>
      </c>
      <c r="AC30" s="90"/>
      <c r="AD30" s="90" t="s">
        <v>65</v>
      </c>
      <c r="AE30" s="87"/>
      <c r="AF30" s="87"/>
    </row>
    <row r="31" spans="2:32" s="84" customFormat="1" ht="13.5" thickBot="1">
      <c r="B31" s="101" t="s">
        <v>121</v>
      </c>
      <c r="C31" s="100"/>
      <c r="D31" s="96"/>
      <c r="E31" s="99"/>
      <c r="F31" s="99"/>
      <c r="M31" s="96"/>
      <c r="N31" s="96"/>
      <c r="O31" s="96"/>
      <c r="P31" s="96"/>
      <c r="Q31" s="98"/>
      <c r="R31" s="97"/>
      <c r="S31" s="97"/>
      <c r="T31" s="96"/>
      <c r="U31" s="96"/>
      <c r="V31" s="96"/>
      <c r="W31" s="96"/>
      <c r="X31" s="96"/>
      <c r="Z31" s="87"/>
      <c r="AA31" s="87"/>
      <c r="AB31" s="87" t="s">
        <v>107</v>
      </c>
      <c r="AC31" s="87"/>
      <c r="AD31" s="87" t="s">
        <v>66</v>
      </c>
      <c r="AE31" s="87"/>
      <c r="AF31" s="87"/>
    </row>
    <row r="32" spans="2:32" s="84" customFormat="1">
      <c r="B32" s="99"/>
      <c r="C32" s="100"/>
      <c r="D32" s="96"/>
      <c r="E32" s="99"/>
      <c r="F32" s="99"/>
      <c r="M32" s="96"/>
      <c r="N32" s="96"/>
      <c r="O32" s="96"/>
      <c r="P32" s="96"/>
      <c r="Q32" s="98"/>
      <c r="R32" s="97"/>
      <c r="S32" s="97"/>
      <c r="T32" s="96"/>
      <c r="U32" s="96"/>
      <c r="V32" s="96"/>
      <c r="W32" s="96"/>
      <c r="X32" s="96"/>
      <c r="Z32" s="87"/>
      <c r="AA32" s="87"/>
      <c r="AB32" s="90" t="s">
        <v>55</v>
      </c>
      <c r="AC32" s="90"/>
      <c r="AD32" s="90" t="s">
        <v>66</v>
      </c>
      <c r="AE32" s="87"/>
      <c r="AF32" s="87"/>
    </row>
    <row r="33" spans="2:32" s="84" customFormat="1">
      <c r="B33" s="95"/>
      <c r="C33" s="94" t="s">
        <v>57</v>
      </c>
      <c r="D33" s="94" t="s">
        <v>58</v>
      </c>
      <c r="E33" s="94" t="s">
        <v>59</v>
      </c>
      <c r="F33" s="94" t="s">
        <v>60</v>
      </c>
      <c r="G33" s="94" t="s">
        <v>61</v>
      </c>
      <c r="Z33" s="87"/>
      <c r="AA33" s="87"/>
      <c r="AB33" s="90" t="s">
        <v>78</v>
      </c>
      <c r="AC33" s="90"/>
      <c r="AD33" s="90" t="s">
        <v>65</v>
      </c>
      <c r="AE33" s="87"/>
      <c r="AF33" s="87"/>
    </row>
    <row r="34" spans="2:32" s="84" customFormat="1">
      <c r="B34" s="92" t="s">
        <v>73</v>
      </c>
      <c r="C34" s="93">
        <f>J42</f>
        <v>12</v>
      </c>
      <c r="D34" s="93">
        <f>J43</f>
        <v>12</v>
      </c>
      <c r="E34" s="93">
        <f>J44</f>
        <v>12</v>
      </c>
      <c r="F34" s="93">
        <f>J45</f>
        <v>12</v>
      </c>
      <c r="G34" s="93">
        <f>J46</f>
        <v>12</v>
      </c>
      <c r="Z34" s="87"/>
      <c r="AA34" s="87"/>
      <c r="AB34" s="90" t="s">
        <v>5</v>
      </c>
      <c r="AC34" s="90"/>
      <c r="AD34" s="90" t="s">
        <v>65</v>
      </c>
      <c r="AE34" s="87"/>
      <c r="AF34" s="87"/>
    </row>
    <row r="35" spans="2:32" s="84" customFormat="1">
      <c r="B35" s="92" t="s">
        <v>69</v>
      </c>
      <c r="C35" s="92">
        <f>K42</f>
        <v>1</v>
      </c>
      <c r="D35" s="92">
        <f>K43</f>
        <v>1</v>
      </c>
      <c r="E35" s="92">
        <f>K44</f>
        <v>2</v>
      </c>
      <c r="F35" s="92">
        <f>K45</f>
        <v>4</v>
      </c>
      <c r="G35" s="92">
        <f>K46</f>
        <v>12</v>
      </c>
      <c r="Z35" s="87"/>
      <c r="AA35" s="87"/>
      <c r="AB35" s="90" t="s">
        <v>21</v>
      </c>
      <c r="AC35" s="90"/>
      <c r="AD35" s="90" t="s">
        <v>65</v>
      </c>
      <c r="AE35" s="87"/>
      <c r="AF35" s="87"/>
    </row>
    <row r="36" spans="2:32" s="84" customFormat="1">
      <c r="B36" s="92" t="s">
        <v>70</v>
      </c>
      <c r="C36" s="91">
        <f>X42</f>
        <v>9809.4309999999987</v>
      </c>
      <c r="D36" s="91">
        <f>X43/K43</f>
        <v>9809.4309999999987</v>
      </c>
      <c r="E36" s="91">
        <f>X44/K44</f>
        <v>4904.7154999999993</v>
      </c>
      <c r="F36" s="91">
        <f>X45/K45</f>
        <v>2452.3577499999997</v>
      </c>
      <c r="G36" s="91">
        <f>X46/K46</f>
        <v>817.45258333333322</v>
      </c>
      <c r="Z36" s="87"/>
      <c r="AA36" s="87"/>
      <c r="AB36" s="90" t="s">
        <v>7</v>
      </c>
      <c r="AC36" s="90"/>
      <c r="AD36" s="90" t="s">
        <v>65</v>
      </c>
      <c r="AE36" s="87"/>
      <c r="AF36" s="87"/>
    </row>
    <row r="37" spans="2:32" s="84" customFormat="1">
      <c r="B37" s="92" t="s">
        <v>71</v>
      </c>
      <c r="C37" s="91">
        <f>C36/K42</f>
        <v>9809.4309999999987</v>
      </c>
      <c r="D37" s="91">
        <f>X43</f>
        <v>9809.4309999999987</v>
      </c>
      <c r="E37" s="91">
        <f>X44</f>
        <v>9809.4309999999987</v>
      </c>
      <c r="F37" s="91">
        <f>X45</f>
        <v>9809.4309999999987</v>
      </c>
      <c r="G37" s="91">
        <f>X46</f>
        <v>9809.4309999999987</v>
      </c>
      <c r="Z37" s="87"/>
      <c r="AA37" s="87"/>
      <c r="AB37" s="90" t="s">
        <v>48</v>
      </c>
      <c r="AC37" s="90"/>
      <c r="AD37" s="90" t="s">
        <v>66</v>
      </c>
      <c r="AE37" s="87"/>
      <c r="AF37" s="87"/>
    </row>
    <row r="38" spans="2:32" s="84" customFormat="1" ht="13.5" thickBot="1">
      <c r="Z38" s="87"/>
      <c r="AA38" s="87"/>
      <c r="AB38" s="83" t="s">
        <v>23</v>
      </c>
      <c r="AC38" s="83"/>
      <c r="AD38" s="83" t="s">
        <v>65</v>
      </c>
      <c r="AE38" s="87"/>
      <c r="AF38" s="87"/>
    </row>
    <row r="39" spans="2:32" s="84" customFormat="1" ht="13.5" thickBot="1">
      <c r="B39" s="89" t="s">
        <v>64</v>
      </c>
      <c r="C39" s="88">
        <f>ROUND($C$10*VLOOKUP($C$9,'Cuotas AXA un año'!$A$7:$D$34,3,FALSE)/100+VLOOKUP($C$9,'Cuotas AXA un año'!$A$7:$D$34,4,FALSE),2)</f>
        <v>8129.94</v>
      </c>
      <c r="Z39" s="87"/>
      <c r="AA39" s="87"/>
      <c r="AB39" s="87"/>
      <c r="AC39" s="87"/>
      <c r="AD39" s="87"/>
      <c r="AE39" s="87"/>
      <c r="AF39" s="87"/>
    </row>
    <row r="40" spans="2:32" s="81" customFormat="1">
      <c r="B40" s="86"/>
      <c r="C40" s="86"/>
      <c r="D40" s="84"/>
      <c r="E40" s="84"/>
      <c r="F40" s="84"/>
      <c r="G40" s="84"/>
      <c r="H40" s="84"/>
      <c r="I40" s="84"/>
      <c r="J40" s="84"/>
      <c r="K40" s="84"/>
      <c r="L40" s="84"/>
      <c r="M40" s="84"/>
      <c r="N40" s="85"/>
      <c r="O40" s="84"/>
      <c r="P40" s="84"/>
      <c r="Q40" s="84"/>
      <c r="R40" s="84"/>
      <c r="S40" s="85"/>
      <c r="T40" s="84"/>
      <c r="U40" s="84"/>
      <c r="V40" s="84"/>
      <c r="W40" s="84"/>
      <c r="X40" s="84"/>
      <c r="Z40" s="82"/>
      <c r="AA40" s="82"/>
      <c r="AB40" s="82"/>
      <c r="AC40" s="82"/>
      <c r="AD40" s="82"/>
      <c r="AE40" s="82"/>
      <c r="AF40" s="82"/>
    </row>
    <row r="41" spans="2:32" s="780" customFormat="1" ht="38.25">
      <c r="B41" s="779" t="s">
        <v>72</v>
      </c>
      <c r="C41" s="779" t="s">
        <v>91</v>
      </c>
      <c r="D41" s="779" t="s">
        <v>92</v>
      </c>
      <c r="E41" s="779" t="s">
        <v>93</v>
      </c>
      <c r="F41" s="779" t="s">
        <v>76</v>
      </c>
      <c r="G41" s="779" t="s">
        <v>94</v>
      </c>
      <c r="H41" s="990" t="s">
        <v>77</v>
      </c>
      <c r="I41" s="990"/>
      <c r="J41" s="779" t="s">
        <v>62</v>
      </c>
      <c r="K41" s="779" t="s">
        <v>63</v>
      </c>
      <c r="L41" s="779" t="s">
        <v>95</v>
      </c>
      <c r="M41" s="779" t="s">
        <v>76</v>
      </c>
      <c r="N41" s="779" t="s">
        <v>86</v>
      </c>
      <c r="O41" s="779" t="s">
        <v>96</v>
      </c>
      <c r="P41" s="779" t="s">
        <v>74</v>
      </c>
      <c r="Q41" s="779" t="s">
        <v>75</v>
      </c>
      <c r="R41" s="779" t="s">
        <v>87</v>
      </c>
      <c r="S41" s="779" t="s">
        <v>88</v>
      </c>
      <c r="T41" s="779" t="s">
        <v>89</v>
      </c>
      <c r="U41" s="779" t="s">
        <v>101</v>
      </c>
      <c r="V41" s="779" t="s">
        <v>102</v>
      </c>
      <c r="W41" s="779" t="s">
        <v>99</v>
      </c>
      <c r="X41" s="779" t="s">
        <v>100</v>
      </c>
    </row>
    <row r="42" spans="2:32" s="780" customFormat="1">
      <c r="B42" s="781">
        <f>$C$10</f>
        <v>184100</v>
      </c>
      <c r="C42" s="782">
        <f>VLOOKUP($C$9,'Cuotas AXA un año'!$A$7:$D$34,3,FALSE)</f>
        <v>2.8927999999999998</v>
      </c>
      <c r="D42" s="782">
        <f>ROUND(B42*C42/100,2)</f>
        <v>5325.64</v>
      </c>
      <c r="E42" s="782">
        <f>VLOOKUP($C$9,'Cuotas AXA un año'!$A$7:$D$34,4,FALSE)</f>
        <v>2804.3</v>
      </c>
      <c r="F42" s="781">
        <f>D42+E42</f>
        <v>8129.9400000000005</v>
      </c>
      <c r="G42" s="780" t="s">
        <v>57</v>
      </c>
      <c r="H42" s="780">
        <f>$C$7/$C$7</f>
        <v>1</v>
      </c>
      <c r="I42" s="780">
        <f>INT(H42)</f>
        <v>1</v>
      </c>
      <c r="J42" s="780">
        <f>$C$7*I42</f>
        <v>12</v>
      </c>
      <c r="K42" s="780">
        <v>1</v>
      </c>
      <c r="L42" s="780">
        <f>VLOOKUP(J42,'TABLA FACTOR LP AXA un año '!$A$11:$B$70,2,FALSE)</f>
        <v>1</v>
      </c>
      <c r="M42" s="782">
        <f>ROUND(F42*L42,2)</f>
        <v>8129.94</v>
      </c>
      <c r="N42" s="782">
        <f>M42*$G$9</f>
        <v>2235.7335000000003</v>
      </c>
      <c r="O42" s="782">
        <f>$G$8</f>
        <v>400</v>
      </c>
      <c r="P42" s="782">
        <f>M42+O42</f>
        <v>8529.9399999999987</v>
      </c>
      <c r="Q42" s="783">
        <f>VLOOKUP(K42,'TABLA RECARGO P FRACC AXA un añ'!$B$15:$F$74,2,FALSE)</f>
        <v>0</v>
      </c>
      <c r="R42" s="784">
        <f>P42*Q42</f>
        <v>0</v>
      </c>
      <c r="S42" s="784">
        <f>R42*$G$10</f>
        <v>0</v>
      </c>
      <c r="T42" s="782">
        <f>P42+R42</f>
        <v>8529.9399999999987</v>
      </c>
      <c r="U42" s="782"/>
      <c r="V42" s="782">
        <f>T42+U42</f>
        <v>8529.9399999999987</v>
      </c>
      <c r="W42" s="782">
        <f>V42*0.15</f>
        <v>1279.4909999999998</v>
      </c>
      <c r="X42" s="782">
        <f>V42+W42</f>
        <v>9809.4309999999987</v>
      </c>
      <c r="AB42" s="785"/>
      <c r="AC42" s="785"/>
      <c r="AD42" s="785"/>
    </row>
    <row r="43" spans="2:32" s="780" customFormat="1">
      <c r="B43" s="781">
        <f>$C$10</f>
        <v>184100</v>
      </c>
      <c r="C43" s="782">
        <f>VLOOKUP($C$9,'Cuotas AXA un año'!$A$7:$D$34,3,FALSE)</f>
        <v>2.8927999999999998</v>
      </c>
      <c r="D43" s="782">
        <f>ROUND(B43*C43/100,2)</f>
        <v>5325.64</v>
      </c>
      <c r="E43" s="782">
        <f>VLOOKUP($C$9,'Cuotas AXA un año'!$A$7:$D$34,4,FALSE)</f>
        <v>2804.3</v>
      </c>
      <c r="F43" s="781">
        <f>D43+E43</f>
        <v>8129.9400000000005</v>
      </c>
      <c r="G43" s="780" t="s">
        <v>58</v>
      </c>
      <c r="H43" s="780">
        <f>$C$7/12</f>
        <v>1</v>
      </c>
      <c r="I43" s="780">
        <f>INT(H43)</f>
        <v>1</v>
      </c>
      <c r="J43" s="780">
        <f>IF(I43-H43=0,I43*12,(I43+1)*12)</f>
        <v>12</v>
      </c>
      <c r="K43" s="780">
        <f>J43/12</f>
        <v>1</v>
      </c>
      <c r="L43" s="780">
        <f>VLOOKUP(J43,'TABLA FACTOR LP AXA un año '!$A$11:$B$70,2,FALSE)</f>
        <v>1</v>
      </c>
      <c r="M43" s="782">
        <f>ROUND(F43*L43,2)</f>
        <v>8129.94</v>
      </c>
      <c r="N43" s="782">
        <f>M43*$G$9</f>
        <v>2235.7335000000003</v>
      </c>
      <c r="O43" s="782">
        <f>$G$8</f>
        <v>400</v>
      </c>
      <c r="P43" s="782">
        <f>M43+O43</f>
        <v>8529.9399999999987</v>
      </c>
      <c r="Q43" s="783">
        <f>VLOOKUP(K43,'TABLA RECARGO P FRACC AXA un añ'!$B$15:$F$74,2,FALSE)</f>
        <v>0</v>
      </c>
      <c r="R43" s="784">
        <f>P43*Q43</f>
        <v>0</v>
      </c>
      <c r="S43" s="784">
        <f>R43*$G$10</f>
        <v>0</v>
      </c>
      <c r="T43" s="782">
        <f>P43+R43</f>
        <v>8529.9399999999987</v>
      </c>
      <c r="U43" s="782"/>
      <c r="V43" s="782">
        <f>T43+U43</f>
        <v>8529.9399999999987</v>
      </c>
      <c r="W43" s="782">
        <f>V43*0.15</f>
        <v>1279.4909999999998</v>
      </c>
      <c r="X43" s="782">
        <f>V43+W43</f>
        <v>9809.4309999999987</v>
      </c>
      <c r="AB43" s="785"/>
      <c r="AC43" s="785"/>
      <c r="AD43" s="785"/>
    </row>
    <row r="44" spans="2:32" s="780" customFormat="1">
      <c r="B44" s="781">
        <f>$C$10</f>
        <v>184100</v>
      </c>
      <c r="C44" s="782">
        <f>VLOOKUP($C$9,'Cuotas AXA un año'!$A$7:$D$34,3,FALSE)</f>
        <v>2.8927999999999998</v>
      </c>
      <c r="D44" s="782">
        <f>ROUND(B44*C44/100,2)</f>
        <v>5325.64</v>
      </c>
      <c r="E44" s="782">
        <f>VLOOKUP($C$9,'Cuotas AXA un año'!$A$7:$D$34,4,FALSE)</f>
        <v>2804.3</v>
      </c>
      <c r="F44" s="781">
        <f>D44+E44</f>
        <v>8129.9400000000005</v>
      </c>
      <c r="G44" s="780" t="s">
        <v>59</v>
      </c>
      <c r="H44" s="780">
        <f>IF($C$7/6&lt;=1,"",$C$7/6)</f>
        <v>2</v>
      </c>
      <c r="I44" s="780">
        <f>INT(H44)</f>
        <v>2</v>
      </c>
      <c r="J44" s="780">
        <f>IF(I44-H44=0,I44*6,(I44+1)*6)</f>
        <v>12</v>
      </c>
      <c r="K44" s="780">
        <f>J44/6</f>
        <v>2</v>
      </c>
      <c r="L44" s="780">
        <f>VLOOKUP(J44,'TABLA FACTOR LP AXA un año '!$A$11:$B$70,2,FALSE)</f>
        <v>1</v>
      </c>
      <c r="M44" s="782">
        <f>ROUND(F44*L44,2)</f>
        <v>8129.94</v>
      </c>
      <c r="N44" s="782">
        <f>M44*$G$9</f>
        <v>2235.7335000000003</v>
      </c>
      <c r="O44" s="782">
        <f>$G$8</f>
        <v>400</v>
      </c>
      <c r="P44" s="782">
        <f>M44+O44</f>
        <v>8529.9399999999987</v>
      </c>
      <c r="Q44" s="783">
        <f>VLOOKUP(K44,'TABLA RECARGO P FRACC AXA un añ'!$B$15:$F$74,3,FALSE)</f>
        <v>0</v>
      </c>
      <c r="R44" s="784">
        <f>P44*Q44</f>
        <v>0</v>
      </c>
      <c r="S44" s="784">
        <f>R44*$G$10</f>
        <v>0</v>
      </c>
      <c r="T44" s="782">
        <f>P44+R44</f>
        <v>8529.9399999999987</v>
      </c>
      <c r="U44" s="782"/>
      <c r="V44" s="782">
        <f>T44+U44</f>
        <v>8529.9399999999987</v>
      </c>
      <c r="W44" s="782">
        <f>V44*0.15</f>
        <v>1279.4909999999998</v>
      </c>
      <c r="X44" s="782">
        <f>V44+W44</f>
        <v>9809.4309999999987</v>
      </c>
      <c r="AB44" s="785"/>
      <c r="AC44" s="785"/>
      <c r="AD44" s="785"/>
    </row>
    <row r="45" spans="2:32" s="780" customFormat="1">
      <c r="B45" s="781">
        <f>$C$10</f>
        <v>184100</v>
      </c>
      <c r="C45" s="782">
        <f>VLOOKUP($C$9,'Cuotas AXA un año'!$A$7:$D$34,3,FALSE)</f>
        <v>2.8927999999999998</v>
      </c>
      <c r="D45" s="782">
        <f>ROUND(B45*C45/100,2)</f>
        <v>5325.64</v>
      </c>
      <c r="E45" s="782">
        <f>VLOOKUP($C$9,'Cuotas AXA un año'!$A$7:$D$34,4,FALSE)</f>
        <v>2804.3</v>
      </c>
      <c r="F45" s="781">
        <f>D45+E45</f>
        <v>8129.9400000000005</v>
      </c>
      <c r="G45" s="780" t="s">
        <v>60</v>
      </c>
      <c r="H45" s="780">
        <f>IF($C$7/3&lt;=3,"",$C$7/3)</f>
        <v>4</v>
      </c>
      <c r="I45" s="780">
        <f>INT(H45)</f>
        <v>4</v>
      </c>
      <c r="J45" s="780">
        <f>IF(I45-H45=0,I45*3,(I45+1)*3)</f>
        <v>12</v>
      </c>
      <c r="K45" s="780">
        <f>J45/3</f>
        <v>4</v>
      </c>
      <c r="L45" s="780">
        <f>VLOOKUP(J45,'TABLA FACTOR LP AXA un año '!$A$11:$B$70,2,FALSE)</f>
        <v>1</v>
      </c>
      <c r="M45" s="782">
        <f>ROUND(F45*L45,2)</f>
        <v>8129.94</v>
      </c>
      <c r="N45" s="782">
        <f>M45*$G$9</f>
        <v>2235.7335000000003</v>
      </c>
      <c r="O45" s="782">
        <f>$G$8</f>
        <v>400</v>
      </c>
      <c r="P45" s="782">
        <f>M45+O45</f>
        <v>8529.9399999999987</v>
      </c>
      <c r="Q45" s="783">
        <f>VLOOKUP(K45,'TABLA RECARGO P FRACC AXA un añ'!$B$15:$F$74,4,FALSE)</f>
        <v>0</v>
      </c>
      <c r="R45" s="784">
        <f>P45*Q45</f>
        <v>0</v>
      </c>
      <c r="S45" s="784">
        <f>R45*$G$10</f>
        <v>0</v>
      </c>
      <c r="T45" s="782">
        <f>P45+R45</f>
        <v>8529.9399999999987</v>
      </c>
      <c r="U45" s="782"/>
      <c r="V45" s="782">
        <f>T45+U45</f>
        <v>8529.9399999999987</v>
      </c>
      <c r="W45" s="782">
        <f>V45*0.15</f>
        <v>1279.4909999999998</v>
      </c>
      <c r="X45" s="782">
        <f>V45+W45</f>
        <v>9809.4309999999987</v>
      </c>
      <c r="AB45" s="785"/>
      <c r="AC45" s="785"/>
      <c r="AD45" s="785"/>
    </row>
    <row r="46" spans="2:32" s="794" customFormat="1">
      <c r="B46" s="786">
        <f>$C$10</f>
        <v>184100</v>
      </c>
      <c r="C46" s="787">
        <f>VLOOKUP($C$9,'Cuotas AXA un año'!$A$7:$D$34,3,FALSE)</f>
        <v>2.8927999999999998</v>
      </c>
      <c r="D46" s="787">
        <f>ROUND(B46*C46/100,2)</f>
        <v>5325.64</v>
      </c>
      <c r="E46" s="787">
        <f>VLOOKUP($C$9,'Cuotas AXA un año'!$A$7:$D$34,4,FALSE)</f>
        <v>2804.3</v>
      </c>
      <c r="F46" s="786">
        <f>D46+E46</f>
        <v>8129.9400000000005</v>
      </c>
      <c r="G46" s="788" t="s">
        <v>61</v>
      </c>
      <c r="H46" s="788">
        <f>IF($C$7/3&lt;=3,"",$C$7/1)</f>
        <v>12</v>
      </c>
      <c r="I46" s="788">
        <f>INT(H46)</f>
        <v>12</v>
      </c>
      <c r="J46" s="788">
        <f>I46*1</f>
        <v>12</v>
      </c>
      <c r="K46" s="788">
        <f>J46/1</f>
        <v>12</v>
      </c>
      <c r="L46" s="788">
        <f>VLOOKUP(J46,'TABLA FACTOR LP AXA un año '!$A$11:$B$70,2,FALSE)</f>
        <v>1</v>
      </c>
      <c r="M46" s="787">
        <f>ROUND(F46*L46,2)</f>
        <v>8129.94</v>
      </c>
      <c r="N46" s="789">
        <f>M46*$G$9</f>
        <v>2235.7335000000003</v>
      </c>
      <c r="O46" s="790">
        <f>$G$8</f>
        <v>400</v>
      </c>
      <c r="P46" s="787">
        <f>M46+O46</f>
        <v>8529.9399999999987</v>
      </c>
      <c r="Q46" s="791">
        <f>VLOOKUP(K46,'TABLA RECARGO P FRACC AXA un añ'!$B$15:$F$74,5,FALSE)</f>
        <v>0</v>
      </c>
      <c r="R46" s="792">
        <f>P46*Q46</f>
        <v>0</v>
      </c>
      <c r="S46" s="793">
        <f>R46*$G$10</f>
        <v>0</v>
      </c>
      <c r="T46" s="787">
        <f>P46+R46</f>
        <v>8529.9399999999987</v>
      </c>
      <c r="U46" s="787"/>
      <c r="V46" s="787">
        <f>T46+U46</f>
        <v>8529.9399999999987</v>
      </c>
      <c r="W46" s="787">
        <f>V46*0.15</f>
        <v>1279.4909999999998</v>
      </c>
      <c r="X46" s="787">
        <f>V46+W46</f>
        <v>9809.4309999999987</v>
      </c>
      <c r="AB46" s="795"/>
      <c r="AC46" s="795"/>
      <c r="AD46" s="795"/>
    </row>
    <row r="47" spans="2:32" s="794" customFormat="1">
      <c r="B47" s="796"/>
      <c r="AB47" s="796"/>
      <c r="AC47" s="796"/>
      <c r="AD47" s="796"/>
    </row>
    <row r="48" spans="2:32">
      <c r="B48" s="77"/>
    </row>
    <row r="49" spans="2:32">
      <c r="B49" s="798" t="str">
        <f>'Cálculo Mens. y dif. seguro'!C42</f>
        <v>IKON</v>
      </c>
    </row>
    <row r="50" spans="2:32">
      <c r="B50" s="799">
        <f>'Cálculo Mens. y dif. seguro'!C44</f>
        <v>134500</v>
      </c>
      <c r="AB50" s="78"/>
      <c r="AC50" s="78"/>
      <c r="AD50" s="78"/>
    </row>
    <row r="51" spans="2:32">
      <c r="B51" s="77"/>
      <c r="AB51" s="78"/>
      <c r="AC51" s="78"/>
      <c r="AD51" s="78"/>
    </row>
    <row r="52" spans="2:32" s="797" customFormat="1">
      <c r="B52" s="800">
        <f>B50</f>
        <v>134500</v>
      </c>
      <c r="C52" s="801">
        <f>VLOOKUP($B$49,'Cuotas AXA un año'!$A$7:$D$34,3,FALSE)</f>
        <v>2.9087000000000001</v>
      </c>
      <c r="D52" s="801">
        <f>ROUND(B52*C52/100,2)</f>
        <v>3912.2</v>
      </c>
      <c r="E52" s="801">
        <f>VLOOKUP($C$9,'Cuotas AXA un año'!$A$7:$D$34,4,FALSE)</f>
        <v>2804.3</v>
      </c>
      <c r="F52" s="800">
        <f>D52+E52</f>
        <v>6716.5</v>
      </c>
      <c r="G52" s="802" t="s">
        <v>57</v>
      </c>
      <c r="H52" s="802">
        <f>$C$7/$C$7</f>
        <v>1</v>
      </c>
      <c r="I52" s="802">
        <f>INT(H52)</f>
        <v>1</v>
      </c>
      <c r="J52" s="802">
        <f>$C$7*I52</f>
        <v>12</v>
      </c>
      <c r="K52" s="802">
        <v>1</v>
      </c>
      <c r="L52" s="802">
        <f>VLOOKUP(J52,'TABLA FACTOR LP AXA un año '!$A$11:$B$70,2,FALSE)</f>
        <v>1</v>
      </c>
      <c r="M52" s="801">
        <f>ROUND(F52*L52,2)</f>
        <v>6716.5</v>
      </c>
      <c r="N52" s="801">
        <f>M52*$G$9</f>
        <v>1847.0375000000001</v>
      </c>
      <c r="O52" s="801"/>
      <c r="P52" s="801">
        <f>M52+O52</f>
        <v>6716.5</v>
      </c>
      <c r="Q52" s="803">
        <f>VLOOKUP(K52,'TABLA RECARGO P FRACC AXA un añ'!$B$15:$F$74,2,FALSE)</f>
        <v>0</v>
      </c>
      <c r="R52" s="804">
        <f>P52*Q52</f>
        <v>0</v>
      </c>
      <c r="S52" s="804">
        <f>R52*$G$10</f>
        <v>0</v>
      </c>
      <c r="T52" s="801">
        <f>P52+R52</f>
        <v>6716.5</v>
      </c>
      <c r="U52" s="801">
        <f>$G$8</f>
        <v>400</v>
      </c>
      <c r="V52" s="801">
        <f>T52+U52</f>
        <v>7116.5</v>
      </c>
      <c r="W52" s="801">
        <f>V52*0.16</f>
        <v>1138.6400000000001</v>
      </c>
      <c r="X52" s="801">
        <f>V52+W52</f>
        <v>8255.14</v>
      </c>
      <c r="Z52" s="798"/>
      <c r="AA52" s="798"/>
      <c r="AB52" s="805"/>
      <c r="AC52" s="805"/>
      <c r="AD52" s="805"/>
      <c r="AE52" s="798"/>
      <c r="AF52" s="798"/>
    </row>
    <row r="53" spans="2:32">
      <c r="B53" s="77"/>
      <c r="AB53" s="78"/>
      <c r="AC53" s="78"/>
      <c r="AD53" s="78"/>
    </row>
    <row r="54" spans="2:32">
      <c r="B54" s="77"/>
      <c r="AB54" s="78"/>
      <c r="AC54" s="78"/>
      <c r="AD54" s="78"/>
    </row>
    <row r="55" spans="2:32">
      <c r="B55" s="77"/>
      <c r="AB55" s="78"/>
      <c r="AC55" s="78"/>
      <c r="AD55" s="78"/>
    </row>
    <row r="56" spans="2:32">
      <c r="B56" s="77"/>
      <c r="AB56" s="78"/>
      <c r="AC56" s="78"/>
      <c r="AD56" s="78"/>
    </row>
    <row r="57" spans="2:32">
      <c r="B57" s="77"/>
    </row>
  </sheetData>
  <sheetProtection password="F4F5" sheet="1" objects="1" scenarios="1" selectLockedCells="1" selectUnlockedCells="1"/>
  <mergeCells count="6">
    <mergeCell ref="A2:H2"/>
    <mergeCell ref="B6:C6"/>
    <mergeCell ref="H24:I24"/>
    <mergeCell ref="H41:I41"/>
    <mergeCell ref="B3:G3"/>
    <mergeCell ref="D14:G14"/>
  </mergeCells>
  <dataValidations count="1">
    <dataValidation type="list" allowBlank="1" showInputMessage="1" showErrorMessage="1" sqref="C8">
      <formula1>$AA$8:$AA$9</formula1>
    </dataValidation>
  </dataValidations>
  <printOptions horizontalCentered="1"/>
  <pageMargins left="0.39370078740157483" right="0.39370078740157483" top="0.98425196850393704" bottom="0.98425196850393704" header="0" footer="0"/>
  <pageSetup scale="99" orientation="portrait" r:id="rId1"/>
  <headerFooter alignWithMargins="0"/>
</worksheet>
</file>

<file path=xl/worksheets/sheet8.xml><?xml version="1.0" encoding="utf-8"?>
<worksheet xmlns="http://schemas.openxmlformats.org/spreadsheetml/2006/main" xmlns:r="http://schemas.openxmlformats.org/officeDocument/2006/relationships">
  <sheetPr codeName="Hoja7">
    <tabColor indexed="10"/>
    <pageSetUpPr fitToPage="1"/>
  </sheetPr>
  <dimension ref="A2:AG57"/>
  <sheetViews>
    <sheetView topLeftCell="AH4" workbookViewId="0">
      <selection activeCell="AG4" sqref="A1:AG65536"/>
    </sheetView>
  </sheetViews>
  <sheetFormatPr baseColWidth="10" defaultColWidth="9.33203125" defaultRowHeight="12.75"/>
  <cols>
    <col min="1" max="1" width="12" style="174" hidden="1" customWidth="1"/>
    <col min="2" max="2" width="25.5" style="174" hidden="1" customWidth="1"/>
    <col min="3" max="3" width="17.83203125" style="174" hidden="1" customWidth="1"/>
    <col min="4" max="4" width="15.1640625" style="174" hidden="1" customWidth="1"/>
    <col min="5" max="5" width="17.33203125" style="174" hidden="1" customWidth="1"/>
    <col min="6" max="6" width="17.83203125" style="174" hidden="1" customWidth="1"/>
    <col min="7" max="7" width="16.1640625" style="174" hidden="1" customWidth="1"/>
    <col min="8" max="8" width="14" style="174" hidden="1" customWidth="1"/>
    <col min="9" max="9" width="11.83203125" style="174" hidden="1" customWidth="1"/>
    <col min="10" max="10" width="10.6640625" style="174" hidden="1" customWidth="1"/>
    <col min="11" max="11" width="16.83203125" style="174" hidden="1" customWidth="1"/>
    <col min="12" max="12" width="18.5" style="174" hidden="1" customWidth="1"/>
    <col min="13" max="13" width="15.1640625" style="174" hidden="1" customWidth="1"/>
    <col min="14" max="14" width="16.33203125" style="174" hidden="1" customWidth="1"/>
    <col min="15" max="15" width="16.83203125" style="174" hidden="1" customWidth="1"/>
    <col min="16" max="16" width="15.6640625" style="174" hidden="1" customWidth="1"/>
    <col min="17" max="17" width="14.83203125" style="174" hidden="1" customWidth="1"/>
    <col min="18" max="18" width="17.6640625" style="174" hidden="1" customWidth="1"/>
    <col min="19" max="19" width="12" style="174" hidden="1" customWidth="1"/>
    <col min="20" max="23" width="14.33203125" style="174" hidden="1" customWidth="1"/>
    <col min="24" max="24" width="12.33203125" style="174" hidden="1" customWidth="1"/>
    <col min="25" max="33" width="9.33203125" style="174" hidden="1" customWidth="1"/>
    <col min="34" max="16384" width="9.33203125" style="174"/>
  </cols>
  <sheetData>
    <row r="2" spans="1:30" ht="25.5">
      <c r="B2" s="998" t="s">
        <v>144</v>
      </c>
      <c r="C2" s="998"/>
      <c r="D2" s="998"/>
      <c r="E2" s="998"/>
      <c r="F2" s="998"/>
      <c r="G2" s="998"/>
      <c r="H2" s="998"/>
      <c r="I2" s="998"/>
    </row>
    <row r="3" spans="1:30" ht="22.5">
      <c r="A3" s="997" t="s">
        <v>143</v>
      </c>
      <c r="B3" s="997"/>
      <c r="C3" s="997"/>
      <c r="D3" s="997"/>
      <c r="E3" s="997"/>
      <c r="F3" s="997"/>
      <c r="G3" s="997"/>
      <c r="H3" s="997"/>
    </row>
    <row r="4" spans="1:30">
      <c r="B4" s="186"/>
      <c r="X4" s="220">
        <v>38875</v>
      </c>
    </row>
    <row r="5" spans="1:30" ht="13.5" thickBot="1"/>
    <row r="6" spans="1:30" ht="13.5" thickBot="1">
      <c r="B6" s="994" t="s">
        <v>135</v>
      </c>
      <c r="C6" s="995"/>
      <c r="E6" s="219" t="s">
        <v>134</v>
      </c>
      <c r="F6" s="219"/>
      <c r="G6" s="219"/>
      <c r="H6" s="219"/>
      <c r="I6" s="219"/>
      <c r="J6" s="219"/>
      <c r="K6" s="219"/>
    </row>
    <row r="7" spans="1:30" ht="13.5" thickBot="1">
      <c r="B7" s="218" t="s">
        <v>29</v>
      </c>
      <c r="C7" s="217">
        <f>Cotizador!AA8</f>
        <v>48</v>
      </c>
      <c r="E7" s="197" t="s">
        <v>133</v>
      </c>
      <c r="F7" s="197"/>
      <c r="G7" s="216" t="s">
        <v>98</v>
      </c>
      <c r="H7" s="216"/>
      <c r="I7" s="216"/>
      <c r="J7" s="216"/>
      <c r="K7" s="216" t="s">
        <v>132</v>
      </c>
      <c r="AA7" s="174" t="s">
        <v>68</v>
      </c>
      <c r="AB7" s="174" t="s">
        <v>65</v>
      </c>
      <c r="AC7" s="174" t="s">
        <v>66</v>
      </c>
    </row>
    <row r="8" spans="1:30" ht="13.5" thickBot="1">
      <c r="B8" s="210" t="s">
        <v>68</v>
      </c>
      <c r="C8" s="209" t="s">
        <v>113</v>
      </c>
      <c r="E8" s="215" t="s">
        <v>97</v>
      </c>
      <c r="F8" s="214"/>
      <c r="G8" s="213">
        <v>400</v>
      </c>
      <c r="H8" s="212"/>
      <c r="I8" s="212"/>
      <c r="J8" s="212"/>
      <c r="K8" s="211">
        <v>250</v>
      </c>
      <c r="AA8" s="174" t="s">
        <v>65</v>
      </c>
      <c r="AB8" s="175" t="s">
        <v>9</v>
      </c>
      <c r="AC8" s="175" t="s">
        <v>50</v>
      </c>
      <c r="AD8" s="175" t="s">
        <v>65</v>
      </c>
    </row>
    <row r="9" spans="1:30">
      <c r="B9" s="210" t="s">
        <v>67</v>
      </c>
      <c r="C9" s="209" t="str">
        <f>Cotizador!D9</f>
        <v>F-250</v>
      </c>
      <c r="E9" s="197" t="s">
        <v>131</v>
      </c>
      <c r="F9" s="197"/>
      <c r="G9" s="51">
        <v>0.27500000000000002</v>
      </c>
      <c r="H9" s="197"/>
      <c r="I9" s="197"/>
      <c r="J9" s="197"/>
      <c r="K9" s="51">
        <v>0.27500000000000002</v>
      </c>
      <c r="AA9" s="174" t="s">
        <v>66</v>
      </c>
      <c r="AB9" s="175" t="s">
        <v>42</v>
      </c>
      <c r="AC9" s="175"/>
      <c r="AD9" s="175" t="s">
        <v>66</v>
      </c>
    </row>
    <row r="10" spans="1:30" ht="14.25" thickBot="1">
      <c r="B10" s="208" t="s">
        <v>72</v>
      </c>
      <c r="C10" s="207">
        <f>Cotizador!D17</f>
        <v>184100</v>
      </c>
      <c r="E10" s="197" t="s">
        <v>130</v>
      </c>
      <c r="F10" s="197"/>
      <c r="G10" s="51">
        <v>0.27500000000000002</v>
      </c>
      <c r="H10" s="197"/>
      <c r="I10" s="197"/>
      <c r="J10" s="197"/>
      <c r="K10" s="51">
        <v>0.27500000000000002</v>
      </c>
      <c r="AB10" s="206" t="s">
        <v>129</v>
      </c>
      <c r="AC10" s="175" t="s">
        <v>42</v>
      </c>
      <c r="AD10" s="175" t="s">
        <v>65</v>
      </c>
    </row>
    <row r="11" spans="1:30">
      <c r="E11" s="197" t="s">
        <v>127</v>
      </c>
      <c r="F11" s="197" t="s">
        <v>126</v>
      </c>
      <c r="G11" s="51">
        <v>1</v>
      </c>
      <c r="H11" s="197"/>
      <c r="I11" s="197"/>
      <c r="J11" s="197"/>
      <c r="K11" s="51">
        <v>0.1258</v>
      </c>
      <c r="AB11" s="174" t="s">
        <v>105</v>
      </c>
      <c r="AD11" s="174" t="s">
        <v>65</v>
      </c>
    </row>
    <row r="12" spans="1:30">
      <c r="E12" s="197" t="s">
        <v>125</v>
      </c>
      <c r="F12" s="197" t="s">
        <v>124</v>
      </c>
      <c r="G12" s="51">
        <v>1</v>
      </c>
      <c r="H12" s="197"/>
      <c r="I12" s="197"/>
      <c r="J12" s="197"/>
      <c r="K12" s="51">
        <v>-0.23100000000000001</v>
      </c>
      <c r="AB12" s="175" t="s">
        <v>17</v>
      </c>
      <c r="AC12" s="175" t="s">
        <v>44</v>
      </c>
      <c r="AD12" s="175" t="s">
        <v>65</v>
      </c>
    </row>
    <row r="13" spans="1:30" ht="13.5" thickBot="1">
      <c r="D13" s="205"/>
      <c r="E13" s="205"/>
      <c r="F13" s="205"/>
      <c r="G13" s="205"/>
      <c r="AB13" s="175" t="s">
        <v>2</v>
      </c>
      <c r="AC13" s="175" t="s">
        <v>46</v>
      </c>
      <c r="AD13" s="175" t="s">
        <v>65</v>
      </c>
    </row>
    <row r="14" spans="1:30" ht="13.5" thickBot="1">
      <c r="B14" s="192" t="s">
        <v>108</v>
      </c>
      <c r="D14" s="205"/>
      <c r="E14" s="205"/>
      <c r="F14" s="205"/>
      <c r="G14" s="205"/>
      <c r="AB14" s="175" t="s">
        <v>18</v>
      </c>
      <c r="AC14" s="175" t="s">
        <v>55</v>
      </c>
      <c r="AD14" s="175" t="s">
        <v>65</v>
      </c>
    </row>
    <row r="15" spans="1:30">
      <c r="C15" s="204" t="s">
        <v>123</v>
      </c>
      <c r="AB15" s="175" t="s">
        <v>11</v>
      </c>
      <c r="AC15" s="175" t="s">
        <v>48</v>
      </c>
      <c r="AD15" s="175" t="s">
        <v>65</v>
      </c>
    </row>
    <row r="16" spans="1:30">
      <c r="B16" s="186"/>
      <c r="C16" s="203" t="s">
        <v>57</v>
      </c>
      <c r="D16" s="185" t="s">
        <v>58</v>
      </c>
      <c r="E16" s="185" t="s">
        <v>59</v>
      </c>
      <c r="F16" s="185" t="s">
        <v>60</v>
      </c>
      <c r="G16" s="185" t="s">
        <v>61</v>
      </c>
      <c r="AB16" s="175" t="s">
        <v>1</v>
      </c>
      <c r="AC16" s="175" t="s">
        <v>52</v>
      </c>
      <c r="AD16" s="175" t="s">
        <v>65</v>
      </c>
    </row>
    <row r="17" spans="2:30">
      <c r="B17" s="183" t="s">
        <v>73</v>
      </c>
      <c r="C17" s="202">
        <f>J25</f>
        <v>48</v>
      </c>
      <c r="D17" s="184">
        <f>J26</f>
        <v>48</v>
      </c>
      <c r="E17" s="184">
        <f>J27</f>
        <v>48</v>
      </c>
      <c r="F17" s="184">
        <f>J28</f>
        <v>48</v>
      </c>
      <c r="G17" s="184">
        <f>J29</f>
        <v>48</v>
      </c>
      <c r="AB17" s="174" t="s">
        <v>106</v>
      </c>
      <c r="AD17" s="175" t="s">
        <v>66</v>
      </c>
    </row>
    <row r="18" spans="2:30">
      <c r="B18" s="183" t="s">
        <v>69</v>
      </c>
      <c r="C18" s="201">
        <f>K25</f>
        <v>1</v>
      </c>
      <c r="D18" s="183">
        <f>K26</f>
        <v>4</v>
      </c>
      <c r="E18" s="183">
        <f>K27</f>
        <v>8</v>
      </c>
      <c r="F18" s="183">
        <f>K28</f>
        <v>16</v>
      </c>
      <c r="G18" s="183">
        <f>K29</f>
        <v>48</v>
      </c>
      <c r="AB18" s="174" t="s">
        <v>109</v>
      </c>
      <c r="AD18" s="175" t="s">
        <v>66</v>
      </c>
    </row>
    <row r="19" spans="2:30">
      <c r="B19" s="183" t="s">
        <v>70</v>
      </c>
      <c r="C19" s="200">
        <f>X25</f>
        <v>36568.605600000003</v>
      </c>
      <c r="D19" s="27">
        <f>X26/K26</f>
        <v>11669.1157</v>
      </c>
      <c r="E19" s="27">
        <f>X27/K27</f>
        <v>6123.3857425000006</v>
      </c>
      <c r="F19" s="27">
        <f>X28/K28</f>
        <v>3133.8998443750002</v>
      </c>
      <c r="G19" s="27">
        <f>X29/K29</f>
        <v>1059.0746760833333</v>
      </c>
      <c r="AB19" s="175" t="s">
        <v>44</v>
      </c>
      <c r="AC19" s="175"/>
      <c r="AD19" s="175" t="s">
        <v>66</v>
      </c>
    </row>
    <row r="20" spans="2:30">
      <c r="B20" s="183" t="s">
        <v>71</v>
      </c>
      <c r="C20" s="200">
        <f>C19/K25</f>
        <v>36568.605600000003</v>
      </c>
      <c r="D20" s="27">
        <f>X26</f>
        <v>46676.462800000001</v>
      </c>
      <c r="E20" s="56">
        <f>X27</f>
        <v>48987.085940000004</v>
      </c>
      <c r="F20" s="27">
        <f>X28</f>
        <v>50142.397510000003</v>
      </c>
      <c r="G20" s="27">
        <f>X29</f>
        <v>50835.584451999996</v>
      </c>
      <c r="I20" s="199"/>
      <c r="AB20" s="175" t="s">
        <v>46</v>
      </c>
      <c r="AC20" s="175"/>
      <c r="AD20" s="175" t="s">
        <v>66</v>
      </c>
    </row>
    <row r="21" spans="2:30">
      <c r="D21" s="198" t="s">
        <v>142</v>
      </c>
      <c r="AB21" s="193" t="s">
        <v>52</v>
      </c>
      <c r="AC21" s="193"/>
      <c r="AD21" s="193" t="s">
        <v>66</v>
      </c>
    </row>
    <row r="22" spans="2:30">
      <c r="B22" s="197" t="s">
        <v>64</v>
      </c>
      <c r="C22" s="196">
        <f>ROUND($C$10*VLOOKUP($C$9,'Cuotas AXA p2'!$A$7:$D$36,3,FALSE)/100+VLOOKUP($C$9,'Cuotas AXA p2'!$A$7:$D$36,4,FALSE),2)</f>
        <v>8129.94</v>
      </c>
      <c r="AB22" s="193" t="s">
        <v>53</v>
      </c>
      <c r="AC22" s="193"/>
      <c r="AD22" s="193" t="s">
        <v>66</v>
      </c>
    </row>
    <row r="23" spans="2:30" s="177" customFormat="1">
      <c r="B23" s="176"/>
      <c r="C23" s="176"/>
      <c r="E23" s="195"/>
      <c r="N23" s="194"/>
      <c r="S23" s="194"/>
      <c r="AB23" s="193" t="s">
        <v>141</v>
      </c>
      <c r="AC23" s="193"/>
      <c r="AD23" s="193" t="s">
        <v>66</v>
      </c>
    </row>
    <row r="24" spans="2:30" s="179" customFormat="1" ht="38.25">
      <c r="B24" s="378" t="s">
        <v>72</v>
      </c>
      <c r="C24" s="378" t="s">
        <v>91</v>
      </c>
      <c r="D24" s="378" t="s">
        <v>92</v>
      </c>
      <c r="E24" s="378" t="s">
        <v>93</v>
      </c>
      <c r="F24" s="378" t="s">
        <v>76</v>
      </c>
      <c r="G24" s="378" t="s">
        <v>94</v>
      </c>
      <c r="H24" s="996" t="s">
        <v>77</v>
      </c>
      <c r="I24" s="996"/>
      <c r="J24" s="378" t="s">
        <v>62</v>
      </c>
      <c r="K24" s="378" t="s">
        <v>63</v>
      </c>
      <c r="L24" s="378" t="s">
        <v>95</v>
      </c>
      <c r="M24" s="378" t="s">
        <v>76</v>
      </c>
      <c r="N24" s="379" t="s">
        <v>86</v>
      </c>
      <c r="O24" s="378" t="s">
        <v>96</v>
      </c>
      <c r="P24" s="378" t="s">
        <v>74</v>
      </c>
      <c r="Q24" s="378" t="s">
        <v>75</v>
      </c>
      <c r="R24" s="378" t="s">
        <v>87</v>
      </c>
      <c r="S24" s="379" t="s">
        <v>88</v>
      </c>
      <c r="T24" s="378" t="s">
        <v>89</v>
      </c>
      <c r="U24" s="378" t="s">
        <v>101</v>
      </c>
      <c r="V24" s="378" t="s">
        <v>102</v>
      </c>
      <c r="W24" s="378" t="s">
        <v>99</v>
      </c>
      <c r="X24" s="378" t="s">
        <v>100</v>
      </c>
      <c r="AB24" s="193" t="s">
        <v>54</v>
      </c>
      <c r="AC24" s="193"/>
      <c r="AD24" s="193" t="s">
        <v>66</v>
      </c>
    </row>
    <row r="25" spans="2:30" s="179" customFormat="1">
      <c r="B25" s="380">
        <f>$C$10</f>
        <v>184100</v>
      </c>
      <c r="C25" s="381">
        <f>VLOOKUP($C$9,'Cuotas AXA p2'!$A$7:$D$36,3,FALSE)</f>
        <v>2.8927999999999998</v>
      </c>
      <c r="D25" s="381">
        <f>ROUND(B25*C25/100,2)</f>
        <v>5325.64</v>
      </c>
      <c r="E25" s="381">
        <f>VLOOKUP($C$9,'Cuotas AXA p2'!$A$7:$D$36,4,FALSE)</f>
        <v>2804.3</v>
      </c>
      <c r="F25" s="380">
        <f>D25+E25</f>
        <v>8129.9400000000005</v>
      </c>
      <c r="G25" s="179" t="s">
        <v>57</v>
      </c>
      <c r="H25" s="179">
        <f>$C$7/$C$7</f>
        <v>1</v>
      </c>
      <c r="I25" s="179">
        <f>INT(H25)</f>
        <v>1</v>
      </c>
      <c r="J25" s="179">
        <f>$C$7*I25</f>
        <v>48</v>
      </c>
      <c r="K25" s="179">
        <v>1</v>
      </c>
      <c r="L25" s="179">
        <f>VLOOKUP(J25,'TABLA FACTOR LP AXA p2 '!$M$11:$N$70,2,FALSE)</f>
        <v>3.8283999999999998</v>
      </c>
      <c r="M25" s="381">
        <f>ROUND(F25*L25,2)</f>
        <v>31124.66</v>
      </c>
      <c r="N25" s="382">
        <f>M25*$G$9</f>
        <v>8559.281500000001</v>
      </c>
      <c r="O25" s="381"/>
      <c r="P25" s="381">
        <f>M25+O25</f>
        <v>31124.66</v>
      </c>
      <c r="Q25" s="383">
        <f>VLOOKUP(K25,'TABLA RECARGO P FRACC AXA p2 '!$B$15:$F$74,2,FALSE)</f>
        <v>0</v>
      </c>
      <c r="R25" s="384">
        <f>P25*Q25</f>
        <v>0</v>
      </c>
      <c r="S25" s="385">
        <f>R25*$G$10</f>
        <v>0</v>
      </c>
      <c r="T25" s="381">
        <f>P25+R25</f>
        <v>31124.66</v>
      </c>
      <c r="U25" s="386">
        <f>$G$8</f>
        <v>400</v>
      </c>
      <c r="V25" s="381">
        <f>T25+U25</f>
        <v>31524.66</v>
      </c>
      <c r="W25" s="381">
        <f>V25*0.16</f>
        <v>5043.9456</v>
      </c>
      <c r="X25" s="381">
        <f>V25+W25</f>
        <v>36568.605600000003</v>
      </c>
      <c r="AB25" s="178" t="s">
        <v>13</v>
      </c>
      <c r="AC25" s="178" t="s">
        <v>53</v>
      </c>
      <c r="AD25" s="178" t="s">
        <v>65</v>
      </c>
    </row>
    <row r="26" spans="2:30" s="179" customFormat="1">
      <c r="B26" s="380">
        <f>$C$10</f>
        <v>184100</v>
      </c>
      <c r="C26" s="381">
        <f>VLOOKUP($C$9,'Cuotas AXA p2'!$A$7:$D$36,3,FALSE)</f>
        <v>2.8927999999999998</v>
      </c>
      <c r="D26" s="381">
        <f>ROUND(B26*C26/100,2)</f>
        <v>5325.64</v>
      </c>
      <c r="E26" s="381">
        <f>VLOOKUP($C$9,'Cuotas AXA p2'!$A$7:$D$36,4,FALSE)</f>
        <v>2804.3</v>
      </c>
      <c r="F26" s="380">
        <f>D26+E26</f>
        <v>8129.9400000000005</v>
      </c>
      <c r="G26" s="179" t="s">
        <v>58</v>
      </c>
      <c r="H26" s="179">
        <f>$C$7/12</f>
        <v>4</v>
      </c>
      <c r="I26" s="179">
        <f>INT(H26)</f>
        <v>4</v>
      </c>
      <c r="J26" s="179">
        <f>IF(I26-H26=0,I26*12,(I26+1)*12)</f>
        <v>48</v>
      </c>
      <c r="K26" s="179">
        <f>J26/12</f>
        <v>4</v>
      </c>
      <c r="L26" s="179">
        <f>VLOOKUP(J26,'TABLA FACTOR LP AXA p2 '!$A$11:$B$70,2,FALSE)</f>
        <v>4.9001999999999999</v>
      </c>
      <c r="M26" s="381">
        <f>ROUND(F26*L26,2)</f>
        <v>39838.33</v>
      </c>
      <c r="N26" s="382">
        <f>M26*$G$9</f>
        <v>10955.540750000002</v>
      </c>
      <c r="O26" s="381"/>
      <c r="P26" s="381">
        <f>M26+O26</f>
        <v>39838.33</v>
      </c>
      <c r="Q26" s="383">
        <f>VLOOKUP(K26,'TABLA RECARGO P FRACC AXA p2 '!$B$15:$F$74,2,FALSE)</f>
        <v>0</v>
      </c>
      <c r="R26" s="384">
        <f>P26*Q26</f>
        <v>0</v>
      </c>
      <c r="S26" s="385">
        <f>R26*$G$10</f>
        <v>0</v>
      </c>
      <c r="T26" s="381">
        <f>P26+R26</f>
        <v>39838.33</v>
      </c>
      <c r="U26" s="386">
        <f>$G$8</f>
        <v>400</v>
      </c>
      <c r="V26" s="381">
        <f>T26+U26</f>
        <v>40238.33</v>
      </c>
      <c r="W26" s="381">
        <f>V26*0.16</f>
        <v>6438.1328000000003</v>
      </c>
      <c r="X26" s="381">
        <f>V26+W26</f>
        <v>46676.462800000001</v>
      </c>
      <c r="AB26" s="178" t="s">
        <v>40</v>
      </c>
      <c r="AC26" s="178" t="s">
        <v>56</v>
      </c>
      <c r="AD26" s="178" t="s">
        <v>65</v>
      </c>
    </row>
    <row r="27" spans="2:30" s="179" customFormat="1">
      <c r="B27" s="380">
        <f>$C$10</f>
        <v>184100</v>
      </c>
      <c r="C27" s="381">
        <f>VLOOKUP($C$9,'Cuotas AXA p2'!$A$7:$D$36,3,FALSE)</f>
        <v>2.8927999999999998</v>
      </c>
      <c r="D27" s="381">
        <f>ROUND(B27*C27/100,2)</f>
        <v>5325.64</v>
      </c>
      <c r="E27" s="381">
        <f>VLOOKUP($C$9,'Cuotas AXA p2'!$A$7:$D$36,4,FALSE)</f>
        <v>2804.3</v>
      </c>
      <c r="F27" s="380">
        <f>D27+E27</f>
        <v>8129.9400000000005</v>
      </c>
      <c r="G27" s="179" t="s">
        <v>59</v>
      </c>
      <c r="H27" s="179">
        <f>IF($C$7/6&lt;=1,"",$C$7/6)</f>
        <v>8</v>
      </c>
      <c r="I27" s="179">
        <f>INT(H27)</f>
        <v>8</v>
      </c>
      <c r="J27" s="179">
        <f>IF(I27-H27=0,I27*6,(I27+1)*6)</f>
        <v>48</v>
      </c>
      <c r="K27" s="179">
        <f>J27/6</f>
        <v>8</v>
      </c>
      <c r="L27" s="179">
        <f>VLOOKUP(J27,'TABLA FACTOR LP AXA p2 '!$A$11:$B$70,2,FALSE)</f>
        <v>4.9001999999999999</v>
      </c>
      <c r="M27" s="381">
        <f>ROUND(F27*L27,2)</f>
        <v>39838.33</v>
      </c>
      <c r="N27" s="382">
        <f>M27*$G$9</f>
        <v>10955.540750000002</v>
      </c>
      <c r="O27" s="381"/>
      <c r="P27" s="381">
        <f>M27+O27</f>
        <v>39838.33</v>
      </c>
      <c r="Q27" s="383">
        <f>VLOOKUP(K27,'TABLA RECARGO P FRACC AXA p2 '!$B$15:$F$74,3,FALSE)</f>
        <v>0.05</v>
      </c>
      <c r="R27" s="384">
        <f>P27*Q27</f>
        <v>1991.9165000000003</v>
      </c>
      <c r="S27" s="385">
        <f>R27*$G$10</f>
        <v>547.77703750000012</v>
      </c>
      <c r="T27" s="381">
        <f>P27+R27</f>
        <v>41830.246500000001</v>
      </c>
      <c r="U27" s="386">
        <f>$G$8</f>
        <v>400</v>
      </c>
      <c r="V27" s="381">
        <f>T27+U27</f>
        <v>42230.246500000001</v>
      </c>
      <c r="W27" s="381">
        <f>V27*0.16</f>
        <v>6756.8394400000006</v>
      </c>
      <c r="X27" s="381">
        <f>V27+W27</f>
        <v>48987.085940000004</v>
      </c>
      <c r="AB27" s="178" t="s">
        <v>15</v>
      </c>
      <c r="AC27" s="178" t="s">
        <v>54</v>
      </c>
      <c r="AD27" s="178" t="s">
        <v>65</v>
      </c>
    </row>
    <row r="28" spans="2:30" s="179" customFormat="1">
      <c r="B28" s="380">
        <f>$C$10</f>
        <v>184100</v>
      </c>
      <c r="C28" s="381">
        <f>VLOOKUP($C$9,'Cuotas AXA p2'!$A$7:$D$36,3,FALSE)</f>
        <v>2.8927999999999998</v>
      </c>
      <c r="D28" s="381">
        <f>ROUND(B28*C28/100,2)</f>
        <v>5325.64</v>
      </c>
      <c r="E28" s="381">
        <f>VLOOKUP($C$9,'Cuotas AXA p2'!$A$7:$D$36,4,FALSE)</f>
        <v>2804.3</v>
      </c>
      <c r="F28" s="380">
        <f>D28+E28</f>
        <v>8129.9400000000005</v>
      </c>
      <c r="G28" s="179" t="s">
        <v>60</v>
      </c>
      <c r="H28" s="179">
        <f>IF($C$7/3&lt;=3,"",$C$7/3)</f>
        <v>16</v>
      </c>
      <c r="I28" s="179">
        <f>INT(H28)</f>
        <v>16</v>
      </c>
      <c r="J28" s="179">
        <f>IF(I28-H28=0,I28*3,(I28+1)*3)</f>
        <v>48</v>
      </c>
      <c r="K28" s="179">
        <f>J28/3</f>
        <v>16</v>
      </c>
      <c r="L28" s="179">
        <f>VLOOKUP(J28,'TABLA FACTOR LP AXA p2 '!$A$11:$B$70,2,FALSE)</f>
        <v>4.9001999999999999</v>
      </c>
      <c r="M28" s="381">
        <f>ROUND(F28*L28,2)</f>
        <v>39838.33</v>
      </c>
      <c r="N28" s="382">
        <f>M28*$G$9</f>
        <v>10955.540750000002</v>
      </c>
      <c r="O28" s="381"/>
      <c r="P28" s="381">
        <f>M28+O28</f>
        <v>39838.33</v>
      </c>
      <c r="Q28" s="383">
        <f>VLOOKUP(K28,'TABLA RECARGO P FRACC AXA p2 '!$B$15:$F$74,4,FALSE)</f>
        <v>7.4999999999999997E-2</v>
      </c>
      <c r="R28" s="384">
        <f>P28*Q28</f>
        <v>2987.8747499999999</v>
      </c>
      <c r="S28" s="385">
        <f>R28*$G$10</f>
        <v>821.66555625000001</v>
      </c>
      <c r="T28" s="381">
        <f>P28+R28</f>
        <v>42826.204750000004</v>
      </c>
      <c r="U28" s="386">
        <f>$G$8</f>
        <v>400</v>
      </c>
      <c r="V28" s="381">
        <f>T28+U28</f>
        <v>43226.204750000004</v>
      </c>
      <c r="W28" s="381">
        <f>V28*0.16</f>
        <v>6916.1927600000008</v>
      </c>
      <c r="X28" s="381">
        <f>V28+W28</f>
        <v>50142.397510000003</v>
      </c>
      <c r="AB28" s="178" t="s">
        <v>111</v>
      </c>
      <c r="AC28" s="178"/>
      <c r="AD28" s="178" t="s">
        <v>66</v>
      </c>
    </row>
    <row r="29" spans="2:30" s="179" customFormat="1">
      <c r="B29" s="380">
        <f>$C$10</f>
        <v>184100</v>
      </c>
      <c r="C29" s="381">
        <f>VLOOKUP($C$9,'Cuotas AXA p2'!$A$7:$D$36,3,FALSE)</f>
        <v>2.8927999999999998</v>
      </c>
      <c r="D29" s="381">
        <f>ROUND(B29*C29/100,2)</f>
        <v>5325.64</v>
      </c>
      <c r="E29" s="381">
        <f>VLOOKUP($C$9,'Cuotas AXA p2'!$A$7:$D$36,4,FALSE)</f>
        <v>2804.3</v>
      </c>
      <c r="F29" s="380">
        <f>D29+E29</f>
        <v>8129.9400000000005</v>
      </c>
      <c r="G29" s="179" t="s">
        <v>61</v>
      </c>
      <c r="H29" s="179">
        <f>IF($C$7/3&lt;=3,"",$C$7/1)</f>
        <v>48</v>
      </c>
      <c r="I29" s="179">
        <f>INT(H29)</f>
        <v>48</v>
      </c>
      <c r="J29" s="179">
        <f>I29*1</f>
        <v>48</v>
      </c>
      <c r="K29" s="179">
        <f>J29/1</f>
        <v>48</v>
      </c>
      <c r="L29" s="179">
        <f>VLOOKUP(J29,'TABLA FACTOR LP AXA p2 '!$A$11:$B$70,2,FALSE)</f>
        <v>4.9001999999999999</v>
      </c>
      <c r="M29" s="381">
        <f>ROUND(F29*L29,2)</f>
        <v>39838.33</v>
      </c>
      <c r="N29" s="382">
        <f>M29*$G$9</f>
        <v>10955.540750000002</v>
      </c>
      <c r="O29" s="381"/>
      <c r="P29" s="381">
        <f>M29+O29</f>
        <v>39838.33</v>
      </c>
      <c r="Q29" s="383">
        <f>VLOOKUP(K29,'TABLA RECARGO P FRACC AXA p2 '!$B$15:$F$74,5,FALSE)</f>
        <v>0.09</v>
      </c>
      <c r="R29" s="384">
        <f>P29*Q29</f>
        <v>3585.4497000000001</v>
      </c>
      <c r="S29" s="385">
        <f>R29*$G$10</f>
        <v>985.99866750000012</v>
      </c>
      <c r="T29" s="381">
        <f>P29+R29</f>
        <v>43423.779699999999</v>
      </c>
      <c r="U29" s="386">
        <f>$G$8</f>
        <v>400</v>
      </c>
      <c r="V29" s="381">
        <f>T29+U29</f>
        <v>43823.779699999999</v>
      </c>
      <c r="W29" s="381">
        <f>V29*0.16</f>
        <v>7011.804752</v>
      </c>
      <c r="X29" s="381">
        <f>V29+W29</f>
        <v>50835.584451999996</v>
      </c>
      <c r="AB29" s="179" t="s">
        <v>104</v>
      </c>
      <c r="AD29" s="179" t="s">
        <v>65</v>
      </c>
    </row>
    <row r="30" spans="2:30" ht="13.5">
      <c r="B30" s="190"/>
      <c r="C30" s="191"/>
      <c r="D30" s="72"/>
      <c r="E30" s="190"/>
      <c r="F30" s="190"/>
      <c r="M30" s="72"/>
      <c r="N30" s="189"/>
      <c r="O30" s="189"/>
      <c r="P30" s="189"/>
      <c r="Q30" s="188"/>
      <c r="R30" s="187"/>
      <c r="S30" s="187"/>
      <c r="T30" s="72"/>
      <c r="U30" s="72"/>
      <c r="V30" s="72"/>
      <c r="W30" s="72"/>
      <c r="X30" s="72"/>
      <c r="AB30" s="223" t="s">
        <v>112</v>
      </c>
      <c r="AC30" s="179"/>
      <c r="AD30" s="179" t="s">
        <v>65</v>
      </c>
    </row>
    <row r="31" spans="2:30" ht="13.5" hidden="1" thickBot="1">
      <c r="B31" s="387" t="s">
        <v>121</v>
      </c>
      <c r="C31" s="191"/>
      <c r="D31" s="72"/>
      <c r="E31" s="190"/>
      <c r="F31" s="190"/>
      <c r="M31" s="72"/>
      <c r="N31" s="189"/>
      <c r="O31" s="189"/>
      <c r="P31" s="189"/>
      <c r="Q31" s="188"/>
      <c r="R31" s="187"/>
      <c r="S31" s="187"/>
      <c r="T31" s="72"/>
      <c r="U31" s="72"/>
      <c r="V31" s="72"/>
      <c r="W31" s="72"/>
      <c r="X31" s="72"/>
      <c r="AB31" s="193" t="s">
        <v>20</v>
      </c>
      <c r="AC31" s="193"/>
      <c r="AD31" s="193" t="s">
        <v>65</v>
      </c>
    </row>
    <row r="32" spans="2:30" hidden="1">
      <c r="B32" s="190"/>
      <c r="C32" s="191"/>
      <c r="D32" s="72"/>
      <c r="E32" s="190"/>
      <c r="F32" s="190"/>
      <c r="M32" s="72"/>
      <c r="N32" s="189"/>
      <c r="O32" s="189"/>
      <c r="P32" s="189"/>
      <c r="Q32" s="188"/>
      <c r="R32" s="187"/>
      <c r="S32" s="187"/>
      <c r="T32" s="72"/>
      <c r="U32" s="72"/>
      <c r="V32" s="72"/>
      <c r="W32" s="72"/>
      <c r="X32" s="72"/>
      <c r="AB32" s="193" t="s">
        <v>22</v>
      </c>
      <c r="AC32" s="193"/>
      <c r="AD32" s="193" t="s">
        <v>65</v>
      </c>
    </row>
    <row r="33" spans="2:30" hidden="1">
      <c r="B33" s="186"/>
      <c r="C33" s="185" t="s">
        <v>57</v>
      </c>
      <c r="D33" s="185" t="s">
        <v>58</v>
      </c>
      <c r="E33" s="185" t="s">
        <v>59</v>
      </c>
      <c r="F33" s="185" t="s">
        <v>60</v>
      </c>
      <c r="G33" s="185" t="s">
        <v>61</v>
      </c>
      <c r="AB33" s="193" t="s">
        <v>4</v>
      </c>
      <c r="AC33" s="193"/>
      <c r="AD33" s="193" t="s">
        <v>65</v>
      </c>
    </row>
    <row r="34" spans="2:30" hidden="1">
      <c r="B34" s="183" t="s">
        <v>73</v>
      </c>
      <c r="C34" s="184">
        <f>J42</f>
        <v>48</v>
      </c>
      <c r="D34" s="184">
        <f>J43</f>
        <v>48</v>
      </c>
      <c r="E34" s="184">
        <f>J44</f>
        <v>48</v>
      </c>
      <c r="F34" s="184">
        <f>J45</f>
        <v>48</v>
      </c>
      <c r="G34" s="184">
        <f>J46</f>
        <v>48</v>
      </c>
      <c r="AB34" s="174" t="s">
        <v>107</v>
      </c>
      <c r="AD34" s="174" t="s">
        <v>66</v>
      </c>
    </row>
    <row r="35" spans="2:30" hidden="1">
      <c r="B35" s="183" t="s">
        <v>69</v>
      </c>
      <c r="C35" s="183">
        <f>K42</f>
        <v>1</v>
      </c>
      <c r="D35" s="183">
        <f>K43</f>
        <v>4</v>
      </c>
      <c r="E35" s="183">
        <f>K44</f>
        <v>8</v>
      </c>
      <c r="F35" s="183">
        <f>K45</f>
        <v>16</v>
      </c>
      <c r="G35" s="183">
        <f>K46</f>
        <v>48</v>
      </c>
      <c r="AB35" s="193" t="s">
        <v>55</v>
      </c>
      <c r="AC35" s="193"/>
      <c r="AD35" s="193" t="s">
        <v>66</v>
      </c>
    </row>
    <row r="36" spans="2:30" hidden="1">
      <c r="B36" s="183" t="s">
        <v>70</v>
      </c>
      <c r="C36" s="27">
        <f>X42</f>
        <v>46274.0795</v>
      </c>
      <c r="D36" s="27">
        <f>X43/K43</f>
        <v>11568.519875</v>
      </c>
      <c r="E36" s="27">
        <f>X44/K44</f>
        <v>6073.4729343750005</v>
      </c>
      <c r="F36" s="27">
        <f>X45/K45</f>
        <v>3109.0397164062501</v>
      </c>
      <c r="G36" s="27">
        <f>X46/K46</f>
        <v>1050.8072219791666</v>
      </c>
      <c r="AB36" s="193" t="s">
        <v>78</v>
      </c>
      <c r="AC36" s="193"/>
      <c r="AD36" s="193" t="s">
        <v>65</v>
      </c>
    </row>
    <row r="37" spans="2:30" hidden="1">
      <c r="B37" s="183" t="s">
        <v>71</v>
      </c>
      <c r="C37" s="27">
        <f>C36/K42</f>
        <v>46274.0795</v>
      </c>
      <c r="D37" s="27">
        <f>X43</f>
        <v>46274.0795</v>
      </c>
      <c r="E37" s="27">
        <f>X44</f>
        <v>48587.783475000004</v>
      </c>
      <c r="F37" s="27">
        <f>X45</f>
        <v>49744.635462500002</v>
      </c>
      <c r="G37" s="27">
        <f>X46</f>
        <v>50438.746654999995</v>
      </c>
      <c r="AB37" s="193" t="s">
        <v>5</v>
      </c>
      <c r="AC37" s="193"/>
      <c r="AD37" s="193" t="s">
        <v>65</v>
      </c>
    </row>
    <row r="38" spans="2:30" hidden="1">
      <c r="AB38" s="193" t="s">
        <v>21</v>
      </c>
      <c r="AC38" s="193"/>
      <c r="AD38" s="193" t="s">
        <v>65</v>
      </c>
    </row>
    <row r="39" spans="2:30" ht="13.5" hidden="1" thickBot="1">
      <c r="B39" s="182" t="s">
        <v>64</v>
      </c>
      <c r="C39" s="181">
        <f>ROUND($C$10*VLOOKUP($C$9,'Cuotas AXA p2'!$A$7:$D$36,3,FALSE)/100+VLOOKUP($C$9,'Cuotas AXA p2'!$A$7:$D$36,4,FALSE),2)</f>
        <v>8129.94</v>
      </c>
      <c r="AB39" s="193" t="s">
        <v>7</v>
      </c>
      <c r="AC39" s="193"/>
      <c r="AD39" s="193" t="s">
        <v>65</v>
      </c>
    </row>
    <row r="40" spans="2:30" s="179" customFormat="1" hidden="1">
      <c r="B40" s="193"/>
      <c r="C40" s="193"/>
      <c r="D40" s="174"/>
      <c r="E40" s="174"/>
      <c r="F40" s="174"/>
      <c r="G40" s="174"/>
      <c r="H40" s="174"/>
      <c r="I40" s="174"/>
      <c r="J40" s="174"/>
      <c r="K40" s="174"/>
      <c r="L40" s="174"/>
      <c r="M40" s="174"/>
      <c r="N40" s="180"/>
      <c r="O40" s="174"/>
      <c r="P40" s="174"/>
      <c r="Q40" s="174"/>
      <c r="R40" s="174"/>
      <c r="S40" s="180"/>
      <c r="T40" s="174"/>
      <c r="U40" s="174"/>
      <c r="V40" s="174"/>
      <c r="W40" s="174"/>
      <c r="X40" s="174"/>
      <c r="AB40" s="193" t="s">
        <v>48</v>
      </c>
      <c r="AC40" s="193"/>
      <c r="AD40" s="193" t="s">
        <v>66</v>
      </c>
    </row>
    <row r="41" spans="2:30" s="179" customFormat="1" ht="38.25" hidden="1">
      <c r="B41" s="378" t="s">
        <v>72</v>
      </c>
      <c r="C41" s="378" t="s">
        <v>91</v>
      </c>
      <c r="D41" s="378" t="s">
        <v>92</v>
      </c>
      <c r="E41" s="378" t="s">
        <v>93</v>
      </c>
      <c r="F41" s="378" t="s">
        <v>76</v>
      </c>
      <c r="G41" s="378" t="s">
        <v>94</v>
      </c>
      <c r="H41" s="996" t="s">
        <v>77</v>
      </c>
      <c r="I41" s="996"/>
      <c r="J41" s="378" t="s">
        <v>62</v>
      </c>
      <c r="K41" s="378" t="s">
        <v>63</v>
      </c>
      <c r="L41" s="378" t="s">
        <v>95</v>
      </c>
      <c r="M41" s="378" t="s">
        <v>76</v>
      </c>
      <c r="N41" s="379" t="s">
        <v>86</v>
      </c>
      <c r="O41" s="378" t="s">
        <v>96</v>
      </c>
      <c r="P41" s="378" t="s">
        <v>74</v>
      </c>
      <c r="Q41" s="378" t="s">
        <v>75</v>
      </c>
      <c r="R41" s="378" t="s">
        <v>87</v>
      </c>
      <c r="S41" s="379" t="s">
        <v>88</v>
      </c>
      <c r="T41" s="378" t="s">
        <v>89</v>
      </c>
      <c r="U41" s="378" t="s">
        <v>101</v>
      </c>
      <c r="V41" s="378" t="s">
        <v>102</v>
      </c>
      <c r="W41" s="378" t="s">
        <v>99</v>
      </c>
      <c r="X41" s="378" t="s">
        <v>100</v>
      </c>
      <c r="AB41" s="178" t="s">
        <v>23</v>
      </c>
      <c r="AC41" s="178"/>
      <c r="AD41" s="178" t="s">
        <v>65</v>
      </c>
    </row>
    <row r="42" spans="2:30" s="179" customFormat="1" hidden="1">
      <c r="B42" s="380">
        <f>$C$10</f>
        <v>184100</v>
      </c>
      <c r="C42" s="381">
        <f>VLOOKUP($C$9,'Cuotas AXA p2'!$A$7:$D$36,3,FALSE)</f>
        <v>2.8927999999999998</v>
      </c>
      <c r="D42" s="381">
        <f>ROUND(B42*C42/100,2)</f>
        <v>5325.64</v>
      </c>
      <c r="E42" s="381">
        <f>VLOOKUP($C$9,'Cuotas AXA p2'!$A$7:$D$36,4,FALSE)</f>
        <v>2804.3</v>
      </c>
      <c r="F42" s="380">
        <f>D42+E42</f>
        <v>8129.9400000000005</v>
      </c>
      <c r="G42" s="179" t="s">
        <v>57</v>
      </c>
      <c r="H42" s="179">
        <f>$C$7/$C$7</f>
        <v>1</v>
      </c>
      <c r="I42" s="179">
        <f>INT(H42)</f>
        <v>1</v>
      </c>
      <c r="J42" s="179">
        <f>$C$7*I42</f>
        <v>48</v>
      </c>
      <c r="K42" s="179">
        <v>1</v>
      </c>
      <c r="L42" s="179">
        <f>VLOOKUP(J42,'TABLA FACTOR LP AXA p2 '!$A$11:$B$70,2,FALSE)</f>
        <v>4.9001999999999999</v>
      </c>
      <c r="M42" s="381">
        <f>ROUND(F42*L42,2)</f>
        <v>39838.33</v>
      </c>
      <c r="N42" s="382">
        <f>M42*$G$9</f>
        <v>10955.540750000002</v>
      </c>
      <c r="O42" s="386">
        <f>$G$8</f>
        <v>400</v>
      </c>
      <c r="P42" s="381">
        <f>M42+O42</f>
        <v>40238.33</v>
      </c>
      <c r="Q42" s="383">
        <f>VLOOKUP(K42,'TABLA RECARGO P FRACC AXA p2 '!$B$15:$F$74,2,FALSE)</f>
        <v>0</v>
      </c>
      <c r="R42" s="384">
        <f>P42*Q42</f>
        <v>0</v>
      </c>
      <c r="S42" s="385">
        <f>R42*$G$10</f>
        <v>0</v>
      </c>
      <c r="T42" s="381">
        <f>P42+R42</f>
        <v>40238.33</v>
      </c>
      <c r="U42" s="381"/>
      <c r="V42" s="381">
        <f>T42+U42</f>
        <v>40238.33</v>
      </c>
      <c r="W42" s="381">
        <f>V42*0.15</f>
        <v>6035.7494999999999</v>
      </c>
      <c r="X42" s="381">
        <f>V42+W42</f>
        <v>46274.0795</v>
      </c>
      <c r="AB42" s="178"/>
      <c r="AC42" s="178"/>
      <c r="AD42" s="178"/>
    </row>
    <row r="43" spans="2:30" s="179" customFormat="1" hidden="1">
      <c r="B43" s="380">
        <f>$C$10</f>
        <v>184100</v>
      </c>
      <c r="C43" s="381">
        <f>VLOOKUP($C$9,'Cuotas AXA p2'!$A$7:$D$36,3,FALSE)</f>
        <v>2.8927999999999998</v>
      </c>
      <c r="D43" s="381">
        <f>ROUND(B43*C43/100,2)</f>
        <v>5325.64</v>
      </c>
      <c r="E43" s="381">
        <f>VLOOKUP($C$9,'Cuotas AXA p2'!$A$7:$D$36,4,FALSE)</f>
        <v>2804.3</v>
      </c>
      <c r="F43" s="380">
        <f>D43+E43</f>
        <v>8129.9400000000005</v>
      </c>
      <c r="G43" s="179" t="s">
        <v>58</v>
      </c>
      <c r="H43" s="179">
        <f>$C$7/12</f>
        <v>4</v>
      </c>
      <c r="I43" s="179">
        <f>INT(H43)</f>
        <v>4</v>
      </c>
      <c r="J43" s="179">
        <f>IF(I43-H43=0,I43*12,(I43+1)*12)</f>
        <v>48</v>
      </c>
      <c r="K43" s="179">
        <f>J43/12</f>
        <v>4</v>
      </c>
      <c r="L43" s="179">
        <f>VLOOKUP(J43,'TABLA FACTOR LP AXA p2 '!$A$11:$B$70,2,FALSE)</f>
        <v>4.9001999999999999</v>
      </c>
      <c r="M43" s="381">
        <f>ROUND(F43*L43,2)</f>
        <v>39838.33</v>
      </c>
      <c r="N43" s="382">
        <f>M43*$G$9</f>
        <v>10955.540750000002</v>
      </c>
      <c r="O43" s="386">
        <f>$G$8</f>
        <v>400</v>
      </c>
      <c r="P43" s="381">
        <f>M43+O43</f>
        <v>40238.33</v>
      </c>
      <c r="Q43" s="383">
        <f>VLOOKUP(K43,'TABLA RECARGO P FRACC AXA p2 '!$B$15:$F$74,2,FALSE)</f>
        <v>0</v>
      </c>
      <c r="R43" s="384">
        <f>P43*Q43</f>
        <v>0</v>
      </c>
      <c r="S43" s="385">
        <f>R43*$G$10</f>
        <v>0</v>
      </c>
      <c r="T43" s="381">
        <f>P43+R43</f>
        <v>40238.33</v>
      </c>
      <c r="U43" s="381"/>
      <c r="V43" s="381">
        <f>T43+U43</f>
        <v>40238.33</v>
      </c>
      <c r="W43" s="381">
        <f>V43*0.15</f>
        <v>6035.7494999999999</v>
      </c>
      <c r="X43" s="381">
        <f>V43+W43</f>
        <v>46274.0795</v>
      </c>
    </row>
    <row r="44" spans="2:30" s="179" customFormat="1" hidden="1">
      <c r="B44" s="380">
        <f>$C$10</f>
        <v>184100</v>
      </c>
      <c r="C44" s="381">
        <f>VLOOKUP($C$9,'Cuotas AXA p2'!$A$7:$D$36,3,FALSE)</f>
        <v>2.8927999999999998</v>
      </c>
      <c r="D44" s="381">
        <f>ROUND(B44*C44/100,2)</f>
        <v>5325.64</v>
      </c>
      <c r="E44" s="381">
        <f>VLOOKUP($C$9,'Cuotas AXA p2'!$A$7:$D$36,4,FALSE)</f>
        <v>2804.3</v>
      </c>
      <c r="F44" s="380">
        <f>D44+E44</f>
        <v>8129.9400000000005</v>
      </c>
      <c r="G44" s="179" t="s">
        <v>59</v>
      </c>
      <c r="H44" s="179">
        <f>IF($C$7/6&lt;=1,"",$C$7/6)</f>
        <v>8</v>
      </c>
      <c r="I44" s="179">
        <f>INT(H44)</f>
        <v>8</v>
      </c>
      <c r="J44" s="179">
        <f>IF(I44-H44=0,I44*6,(I44+1)*6)</f>
        <v>48</v>
      </c>
      <c r="K44" s="179">
        <f>J44/6</f>
        <v>8</v>
      </c>
      <c r="L44" s="179">
        <f>VLOOKUP(J44,'TABLA FACTOR LP AXA p2 '!$A$11:$B$70,2,FALSE)</f>
        <v>4.9001999999999999</v>
      </c>
      <c r="M44" s="381">
        <f>ROUND(F44*L44,2)</f>
        <v>39838.33</v>
      </c>
      <c r="N44" s="382">
        <f>M44*$G$9</f>
        <v>10955.540750000002</v>
      </c>
      <c r="O44" s="386">
        <f>$G$8</f>
        <v>400</v>
      </c>
      <c r="P44" s="381">
        <f>M44+O44</f>
        <v>40238.33</v>
      </c>
      <c r="Q44" s="383">
        <f>VLOOKUP(K44,'TABLA RECARGO P FRACC AXA p2 '!$B$15:$F$74,3,FALSE)</f>
        <v>0.05</v>
      </c>
      <c r="R44" s="384">
        <f>P44*Q44</f>
        <v>2011.9165000000003</v>
      </c>
      <c r="S44" s="385">
        <f>R44*$G$10</f>
        <v>553.27703750000012</v>
      </c>
      <c r="T44" s="381">
        <f>P44+R44</f>
        <v>42250.246500000001</v>
      </c>
      <c r="U44" s="381"/>
      <c r="V44" s="381">
        <f>T44+U44</f>
        <v>42250.246500000001</v>
      </c>
      <c r="W44" s="381">
        <f>V44*0.15</f>
        <v>6337.536975</v>
      </c>
      <c r="X44" s="381">
        <f>V44+W44</f>
        <v>48587.783475000004</v>
      </c>
      <c r="AB44" s="178"/>
      <c r="AC44" s="178"/>
      <c r="AD44" s="178"/>
    </row>
    <row r="45" spans="2:30" s="179" customFormat="1" hidden="1">
      <c r="B45" s="380">
        <f>$C$10</f>
        <v>184100</v>
      </c>
      <c r="C45" s="381">
        <f>VLOOKUP($C$9,'Cuotas AXA p2'!$A$7:$D$36,3,FALSE)</f>
        <v>2.8927999999999998</v>
      </c>
      <c r="D45" s="381">
        <f>ROUND(B45*C45/100,2)</f>
        <v>5325.64</v>
      </c>
      <c r="E45" s="381">
        <f>VLOOKUP($C$9,'Cuotas AXA p2'!$A$7:$D$36,4,FALSE)</f>
        <v>2804.3</v>
      </c>
      <c r="F45" s="380">
        <f>D45+E45</f>
        <v>8129.9400000000005</v>
      </c>
      <c r="G45" s="179" t="s">
        <v>60</v>
      </c>
      <c r="H45" s="179">
        <f>IF($C$7/3&lt;=3,"",$C$7/3)</f>
        <v>16</v>
      </c>
      <c r="I45" s="179">
        <f>INT(H45)</f>
        <v>16</v>
      </c>
      <c r="J45" s="179">
        <f>IF(I45-H45=0,I45*3,(I45+1)*3)</f>
        <v>48</v>
      </c>
      <c r="K45" s="179">
        <f>J45/3</f>
        <v>16</v>
      </c>
      <c r="L45" s="179">
        <f>VLOOKUP(J45,'TABLA FACTOR LP AXA p2 '!$A$11:$B$70,2,FALSE)</f>
        <v>4.9001999999999999</v>
      </c>
      <c r="M45" s="381">
        <f>ROUND(F45*L45,2)</f>
        <v>39838.33</v>
      </c>
      <c r="N45" s="382">
        <f>M45*$G$9</f>
        <v>10955.540750000002</v>
      </c>
      <c r="O45" s="386">
        <f>$G$8</f>
        <v>400</v>
      </c>
      <c r="P45" s="381">
        <f>M45+O45</f>
        <v>40238.33</v>
      </c>
      <c r="Q45" s="383">
        <f>VLOOKUP(K45,'TABLA RECARGO P FRACC AXA p2 '!$B$15:$F$74,4,FALSE)</f>
        <v>7.4999999999999997E-2</v>
      </c>
      <c r="R45" s="384">
        <f>P45*Q45</f>
        <v>3017.8747499999999</v>
      </c>
      <c r="S45" s="385">
        <f>R45*$G$10</f>
        <v>829.91555625000001</v>
      </c>
      <c r="T45" s="381">
        <f>P45+R45</f>
        <v>43256.204750000004</v>
      </c>
      <c r="U45" s="381"/>
      <c r="V45" s="381">
        <f>T45+U45</f>
        <v>43256.204750000004</v>
      </c>
      <c r="W45" s="381">
        <f>V45*0.15</f>
        <v>6488.4307125000005</v>
      </c>
      <c r="X45" s="381">
        <f>V45+W45</f>
        <v>49744.635462500002</v>
      </c>
      <c r="AB45" s="178"/>
      <c r="AC45" s="178"/>
      <c r="AD45" s="178"/>
    </row>
    <row r="46" spans="2:30" hidden="1">
      <c r="B46" s="380">
        <f>$C$10</f>
        <v>184100</v>
      </c>
      <c r="C46" s="381">
        <f>VLOOKUP($C$9,'Cuotas AXA p2'!$A$7:$D$36,3,FALSE)</f>
        <v>2.8927999999999998</v>
      </c>
      <c r="D46" s="381">
        <f>ROUND(B46*C46/100,2)</f>
        <v>5325.64</v>
      </c>
      <c r="E46" s="381">
        <f>VLOOKUP($C$9,'Cuotas AXA p2'!$A$7:$D$36,4,FALSE)</f>
        <v>2804.3</v>
      </c>
      <c r="F46" s="380">
        <f>D46+E46</f>
        <v>8129.9400000000005</v>
      </c>
      <c r="G46" s="179" t="s">
        <v>61</v>
      </c>
      <c r="H46" s="179">
        <f>IF($C$7/3&lt;=3,"",$C$7/1)</f>
        <v>48</v>
      </c>
      <c r="I46" s="179">
        <f>INT(H46)</f>
        <v>48</v>
      </c>
      <c r="J46" s="179">
        <f>I46*1</f>
        <v>48</v>
      </c>
      <c r="K46" s="179">
        <f>J46/1</f>
        <v>48</v>
      </c>
      <c r="L46" s="179">
        <f>VLOOKUP(J46,'TABLA FACTOR LP AXA p2 '!$A$11:$B$70,2,FALSE)</f>
        <v>4.9001999999999999</v>
      </c>
      <c r="M46" s="381">
        <f>ROUND(F46*L46,2)</f>
        <v>39838.33</v>
      </c>
      <c r="N46" s="382">
        <f>M46*$G$9</f>
        <v>10955.540750000002</v>
      </c>
      <c r="O46" s="386">
        <f>$G$8</f>
        <v>400</v>
      </c>
      <c r="P46" s="381">
        <f>M46+O46</f>
        <v>40238.33</v>
      </c>
      <c r="Q46" s="383">
        <f>VLOOKUP(K46,'TABLA RECARGO P FRACC AXA p2 '!$B$15:$F$74,5,FALSE)</f>
        <v>0.09</v>
      </c>
      <c r="R46" s="384">
        <f>P46*Q46</f>
        <v>3621.4497000000001</v>
      </c>
      <c r="S46" s="385">
        <f>R46*$G$10</f>
        <v>995.8986675000001</v>
      </c>
      <c r="T46" s="381">
        <f>P46+R46</f>
        <v>43859.779699999999</v>
      </c>
      <c r="U46" s="381"/>
      <c r="V46" s="381">
        <f>T46+U46</f>
        <v>43859.779699999999</v>
      </c>
      <c r="W46" s="381">
        <f>V46*0.15</f>
        <v>6578.9669549999999</v>
      </c>
      <c r="X46" s="381">
        <f>V46+W46</f>
        <v>50438.746654999995</v>
      </c>
      <c r="AB46" s="178"/>
      <c r="AC46" s="178"/>
      <c r="AD46" s="178"/>
    </row>
    <row r="47" spans="2:30" hidden="1">
      <c r="B47" s="193"/>
      <c r="AB47" s="193"/>
      <c r="AC47" s="193"/>
      <c r="AD47" s="193"/>
    </row>
    <row r="48" spans="2:30" hidden="1">
      <c r="B48" s="193"/>
      <c r="AB48" s="193"/>
      <c r="AC48" s="193"/>
      <c r="AD48" s="193"/>
    </row>
    <row r="49" spans="2:30">
      <c r="B49" s="193"/>
      <c r="L49" s="174">
        <v>2.4420999999999999</v>
      </c>
      <c r="AB49" s="193"/>
      <c r="AC49" s="193"/>
      <c r="AD49" s="193"/>
    </row>
    <row r="50" spans="2:30">
      <c r="B50" s="193"/>
      <c r="L50" s="174">
        <v>3.4346999999999999</v>
      </c>
      <c r="AB50" s="193"/>
      <c r="AC50" s="193"/>
      <c r="AD50" s="193"/>
    </row>
    <row r="51" spans="2:30">
      <c r="B51" s="193"/>
      <c r="L51" s="174">
        <v>2.8622999999999998</v>
      </c>
      <c r="AB51" s="193"/>
      <c r="AC51" s="193"/>
      <c r="AD51" s="193"/>
    </row>
    <row r="52" spans="2:30">
      <c r="B52" s="193"/>
      <c r="L52" s="174">
        <v>2.8622999999999998</v>
      </c>
      <c r="AB52" s="193"/>
      <c r="AC52" s="193"/>
      <c r="AD52" s="193"/>
    </row>
    <row r="53" spans="2:30">
      <c r="B53" s="193"/>
      <c r="L53" s="174">
        <v>2.8622999999999998</v>
      </c>
      <c r="AB53" s="193"/>
      <c r="AC53" s="193"/>
      <c r="AD53" s="193"/>
    </row>
    <row r="54" spans="2:30">
      <c r="B54" s="193"/>
      <c r="AB54" s="193"/>
      <c r="AC54" s="193"/>
      <c r="AD54" s="193"/>
    </row>
    <row r="55" spans="2:30">
      <c r="B55" s="193"/>
      <c r="AB55" s="193"/>
      <c r="AC55" s="193"/>
      <c r="AD55" s="193"/>
    </row>
    <row r="56" spans="2:30">
      <c r="B56" s="175"/>
      <c r="AB56" s="175"/>
      <c r="AC56" s="175"/>
      <c r="AD56" s="175"/>
    </row>
    <row r="57" spans="2:30">
      <c r="B57" s="175"/>
    </row>
  </sheetData>
  <sheetProtection password="F4F5" sheet="1" objects="1" scenarios="1" selectLockedCells="1" selectUnlockedCells="1"/>
  <mergeCells count="5">
    <mergeCell ref="B6:C6"/>
    <mergeCell ref="H24:I24"/>
    <mergeCell ref="H41:I41"/>
    <mergeCell ref="A3:H3"/>
    <mergeCell ref="B2:I2"/>
  </mergeCells>
  <dataValidations count="1">
    <dataValidation type="list" allowBlank="1" showInputMessage="1" showErrorMessage="1" sqref="C8">
      <formula1>$AA$8:$AA$9</formula1>
    </dataValidation>
  </dataValidations>
  <printOptions horizontalCentered="1"/>
  <pageMargins left="0.39370078740157483" right="0.39370078740157483" top="0.98425196850393704" bottom="0.98425196850393704" header="0" footer="0"/>
  <pageSetup orientation="portrait" r:id="rId1"/>
  <headerFooter alignWithMargins="0"/>
</worksheet>
</file>

<file path=xl/worksheets/sheet9.xml><?xml version="1.0" encoding="utf-8"?>
<worksheet xmlns="http://schemas.openxmlformats.org/spreadsheetml/2006/main" xmlns:r="http://schemas.openxmlformats.org/officeDocument/2006/relationships">
  <sheetPr codeName="Hoja8">
    <tabColor indexed="10"/>
  </sheetPr>
  <dimension ref="A13:F24"/>
  <sheetViews>
    <sheetView topLeftCell="N1" workbookViewId="0">
      <selection activeCell="T9" sqref="T9"/>
    </sheetView>
  </sheetViews>
  <sheetFormatPr baseColWidth="10" defaultRowHeight="12.75"/>
  <cols>
    <col min="1" max="1" width="19.6640625" hidden="1" customWidth="1"/>
    <col min="2" max="2" width="14" hidden="1" customWidth="1"/>
    <col min="3" max="3" width="13.83203125" hidden="1" customWidth="1"/>
    <col min="4" max="5" width="15.83203125" hidden="1" customWidth="1"/>
    <col min="6" max="6" width="13.83203125" hidden="1" customWidth="1"/>
    <col min="7" max="13" width="0" hidden="1" customWidth="1"/>
  </cols>
  <sheetData>
    <row r="13" spans="1:6">
      <c r="A13" s="270"/>
      <c r="B13" s="269" t="s">
        <v>57</v>
      </c>
      <c r="C13" s="269"/>
      <c r="D13" s="269"/>
      <c r="E13" s="269"/>
      <c r="F13" s="269"/>
    </row>
    <row r="14" spans="1:6">
      <c r="A14" s="265" t="s">
        <v>73</v>
      </c>
      <c r="B14" s="267">
        <f>'Cotizador GNP p1 11 y 12'!B22</f>
        <v>12</v>
      </c>
      <c r="C14" s="267"/>
      <c r="D14" s="267"/>
      <c r="E14" s="267"/>
      <c r="F14" s="267"/>
    </row>
    <row r="15" spans="1:6">
      <c r="A15" s="265" t="s">
        <v>69</v>
      </c>
      <c r="B15" s="267">
        <f>'Cotizador GNP p1 11 y 12'!B23</f>
        <v>1</v>
      </c>
      <c r="C15" s="267"/>
      <c r="D15" s="267"/>
      <c r="E15" s="267"/>
      <c r="F15" s="267"/>
    </row>
    <row r="16" spans="1:6">
      <c r="A16" s="265" t="s">
        <v>70</v>
      </c>
      <c r="B16" s="27">
        <f>IF(OR(Cotizador!$D$15=2012,Cotizador!$D$15=2011),'Cotizador GNP p1 11 y 12'!B24,'Cotizador GNP p1 13'!B24)</f>
        <v>14368.862000000001</v>
      </c>
      <c r="C16" s="27"/>
      <c r="D16" s="27"/>
      <c r="E16" s="27"/>
      <c r="F16" s="27"/>
    </row>
    <row r="17" spans="1:6">
      <c r="A17" s="265" t="s">
        <v>71</v>
      </c>
      <c r="B17" s="27">
        <f>IF(OR(Cotizador!$D$15=2012,Cotizador!$D$15=2011),'Cotizador GNP p1 11 y 12'!B25,'Cotizador GNP p1 13'!B25)</f>
        <v>14368.862000000001</v>
      </c>
      <c r="C17" s="27"/>
      <c r="D17" s="27"/>
      <c r="E17" s="27"/>
      <c r="F17" s="27"/>
    </row>
    <row r="20" spans="1:6">
      <c r="A20" s="270"/>
      <c r="B20" s="269" t="s">
        <v>57</v>
      </c>
      <c r="C20" s="269" t="s">
        <v>58</v>
      </c>
      <c r="D20" s="269" t="s">
        <v>59</v>
      </c>
      <c r="E20" s="269" t="s">
        <v>60</v>
      </c>
      <c r="F20" s="269" t="s">
        <v>61</v>
      </c>
    </row>
    <row r="21" spans="1:6">
      <c r="A21" s="265" t="s">
        <v>73</v>
      </c>
      <c r="B21" s="356">
        <f>IF(OR(Cotizador!$D$15=2012,Cotizador!$D$15=2011),'Cotizador GNP p2 11 y 12'!B22,'Cotizador GNP p2 13'!B22)</f>
        <v>48</v>
      </c>
      <c r="C21" s="356">
        <f>IF(OR(Cotizador!$D$15=2012,Cotizador!$D$15=2011),'Cotizador GNP p2 11 y 12'!C22,'Cotizador GNP p2 13'!C22)</f>
        <v>48</v>
      </c>
      <c r="D21" s="356">
        <f>IF(OR(Cotizador!$D$15=2012,Cotizador!$D$15=2011),'Cotizador GNP p2 11 y 12'!D22,'Cotizador GNP p2 13'!D22)</f>
        <v>48</v>
      </c>
      <c r="E21" s="356">
        <f>IF(OR(Cotizador!$D$15=2012,Cotizador!$D$15=2011),'Cotizador GNP p2 11 y 12'!E22,'Cotizador GNP p2 13'!E22)</f>
        <v>48</v>
      </c>
      <c r="F21" s="356">
        <f>IF(OR(Cotizador!$D$15=2012,Cotizador!$D$15=2011),'Cotizador GNP p2 11 y 12'!F22,'Cotizador GNP p2 13'!F22)</f>
        <v>48</v>
      </c>
    </row>
    <row r="22" spans="1:6">
      <c r="A22" s="265" t="s">
        <v>69</v>
      </c>
      <c r="B22" s="356">
        <f>IF(OR(Cotizador!$D$15=2012,Cotizador!$D$15=2011),'Cotizador GNP p2 11 y 12'!B23,'Cotizador GNP p2 13'!B23)</f>
        <v>1</v>
      </c>
      <c r="C22" s="356">
        <f>IF(OR(Cotizador!$D$15=2012,Cotizador!$D$15=2011),'Cotizador GNP p2 11 y 12'!C23,'Cotizador GNP p2 13'!C23)</f>
        <v>4</v>
      </c>
      <c r="D22" s="356">
        <f>IF(OR(Cotizador!$D$15=2012,Cotizador!$D$15=2011),'Cotizador GNP p2 11 y 12'!D23,'Cotizador GNP p2 13'!D23)</f>
        <v>8</v>
      </c>
      <c r="E22" s="356">
        <f>IF(OR(Cotizador!$D$15=2012,Cotizador!$D$15=2011),'Cotizador GNP p2 11 y 12'!E23,'Cotizador GNP p2 13'!E23)</f>
        <v>16</v>
      </c>
      <c r="F22" s="356">
        <f>IF(OR(Cotizador!$D$15=2012,Cotizador!$D$15=2011),'Cotizador GNP p2 11 y 12'!F23,'Cotizador GNP p2 13'!F23)</f>
        <v>48</v>
      </c>
    </row>
    <row r="23" spans="1:6">
      <c r="A23" s="265" t="s">
        <v>70</v>
      </c>
      <c r="B23" s="27">
        <f>IF(OR(Cotizador!$D$15=2012,Cotizador!$D$15=2011),'Cotizador GNP p2 11 y 12'!B24,'Cotizador GNP p2 13'!B24)</f>
        <v>55909.448000000004</v>
      </c>
      <c r="C23" s="27">
        <f>IF(OR(Cotizador!$D$15=2012,Cotizador!$D$15=2011),'Cotizador GNP p2 11 y 12'!C24,'Cotizador GNP p2 13'!C24)</f>
        <v>15039.641512000002</v>
      </c>
      <c r="D23" s="27">
        <f>IF(OR(Cotizador!$D$15=2012,Cotizador!$D$15=2011),'Cotizador GNP p2 11 y 12'!D24,'Cotizador GNP p2 13'!D24)</f>
        <v>7614.1679495000008</v>
      </c>
      <c r="E23" s="27">
        <f>IF(OR(Cotizador!$D$15=2012,Cotizador!$D$15=2011),'Cotizador GNP p2 11 y 12'!E24,'Cotizador GNP p2 13'!E24)</f>
        <v>3830.8454901500004</v>
      </c>
      <c r="F23" s="27">
        <f>IF(OR(Cotizador!$D$15=2012,Cotizador!$D$15=2011),'Cotizador GNP p2 11 y 12'!F24,'Cotizador GNP p2 13'!F24)</f>
        <v>1282.1900074666667</v>
      </c>
    </row>
    <row r="24" spans="1:6">
      <c r="A24" s="265" t="s">
        <v>71</v>
      </c>
      <c r="B24" s="27">
        <f>IF(OR(Cotizador!$D$15=2012,Cotizador!$D$15=2011),'Cotizador GNP p2 11 y 12'!B25,'Cotizador GNP p2 13'!B25)</f>
        <v>55909.448000000004</v>
      </c>
      <c r="C24" s="27">
        <f>IF(OR(Cotizador!$D$15=2012,Cotizador!$D$15=2011),'Cotizador GNP p2 11 y 12'!C25,'Cotizador GNP p2 13'!C25)</f>
        <v>60158.566048000008</v>
      </c>
      <c r="D24" s="27">
        <f>IF(OR(Cotizador!$D$15=2012,Cotizador!$D$15=2011),'Cotizador GNP p2 11 y 12'!D25,'Cotizador GNP p2 13'!D25)</f>
        <v>60913.343596000006</v>
      </c>
      <c r="E24" s="27">
        <f>IF(OR(Cotizador!$D$15=2012,Cotizador!$D$15=2011),'Cotizador GNP p2 11 y 12'!E25,'Cotizador GNP p2 13'!E25)</f>
        <v>61293.527842400006</v>
      </c>
      <c r="F24" s="27">
        <f>IF(OR(Cotizador!$D$15=2012,Cotizador!$D$15=2011),'Cotizador GNP p2 11 y 12'!F25,'Cotizador GNP p2 13'!F25)</f>
        <v>61545.120358400003</v>
      </c>
    </row>
  </sheetData>
  <sheetProtection password="F4F5"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31</vt:i4>
      </vt:variant>
    </vt:vector>
  </HeadingPairs>
  <TitlesOfParts>
    <vt:vector size="66" baseType="lpstr">
      <vt:lpstr>Cotizador</vt:lpstr>
      <vt:lpstr>Captura</vt:lpstr>
      <vt:lpstr>Cotizador QT</vt:lpstr>
      <vt:lpstr>Cuotas QT</vt:lpstr>
      <vt:lpstr>TABLA FACTOR A LARGO PLAZO QT</vt:lpstr>
      <vt:lpstr>TABLA RECARGO POR PAGO FRACC QT</vt:lpstr>
      <vt:lpstr>Cotizador AXA Un año</vt:lpstr>
      <vt:lpstr>Cotizador AXA p2</vt:lpstr>
      <vt:lpstr>Selector GNP</vt:lpstr>
      <vt:lpstr>Cotizador GNP p1 11 y 12</vt:lpstr>
      <vt:lpstr>Cuotas GNP p1 11 y 12</vt:lpstr>
      <vt:lpstr>FACTOR LP GNP p1 11 y 12</vt:lpstr>
      <vt:lpstr>RECARGO P FRACC GNP p1 11 y 12</vt:lpstr>
      <vt:lpstr>Cotizador GNP p1 13</vt:lpstr>
      <vt:lpstr>Cotizador GNP p2 11 y 12</vt:lpstr>
      <vt:lpstr>Cotizador GNP p2 13</vt:lpstr>
      <vt:lpstr>Cuotas GNP p2 13</vt:lpstr>
      <vt:lpstr>FACTOR LP GNP p2 13</vt:lpstr>
      <vt:lpstr>RECARGO P FRACC GNP p2 13</vt:lpstr>
      <vt:lpstr>Cuotas GNP p2 11 y 12</vt:lpstr>
      <vt:lpstr>FACTOR GNP LP p2 11 y 12</vt:lpstr>
      <vt:lpstr>RECARGO P FRACC GNP p2 11 y 12</vt:lpstr>
      <vt:lpstr>Cuotas GNP p1 13</vt:lpstr>
      <vt:lpstr>FACTOR LP GNP p1 13</vt:lpstr>
      <vt:lpstr>RECARGO P FRACC GNP p1 13</vt:lpstr>
      <vt:lpstr>Cuotas AXA p2</vt:lpstr>
      <vt:lpstr>TABLA FACTOR LP AXA p2 </vt:lpstr>
      <vt:lpstr>TABLA RECARGO P FRACC AXA p2 </vt:lpstr>
      <vt:lpstr>Cuotas AXA un año</vt:lpstr>
      <vt:lpstr>TABLA FACTOR LP AXA un año </vt:lpstr>
      <vt:lpstr>TABLA RECARGO P FRACC AXA un añ</vt:lpstr>
      <vt:lpstr>C.C. AXA</vt:lpstr>
      <vt:lpstr>C.C.Quálitas</vt:lpstr>
      <vt:lpstr>C.C.GNP</vt:lpstr>
      <vt:lpstr>Cálculo Mens. y dif. seguro</vt:lpstr>
      <vt:lpstr>'Cálculo Mens. y dif. seguro'!Área_de_impresión</vt:lpstr>
      <vt:lpstr>Captura!Área_de_impresión</vt:lpstr>
      <vt:lpstr>Cotizador!Área_de_impresión</vt:lpstr>
      <vt:lpstr>'Cotizador AXA p2'!Área_de_impresión</vt:lpstr>
      <vt:lpstr>'Cotizador AXA Un año'!Área_de_impresión</vt:lpstr>
      <vt:lpstr>'Cotizador GNP p1 11 y 12'!Área_de_impresión</vt:lpstr>
      <vt:lpstr>'Cotizador GNP p1 13'!Área_de_impresión</vt:lpstr>
      <vt:lpstr>'Cotizador GNP p2 11 y 12'!Área_de_impresión</vt:lpstr>
      <vt:lpstr>'Cotizador GNP p2 13'!Área_de_impresión</vt:lpstr>
      <vt:lpstr>'Cotizador QT'!Área_de_impresión</vt:lpstr>
      <vt:lpstr>'Cuotas AXA p2'!Área_de_impresión</vt:lpstr>
      <vt:lpstr>'Cuotas GNP p1 11 y 12'!Área_de_impresión</vt:lpstr>
      <vt:lpstr>'Cuotas GNP p1 13'!Área_de_impresión</vt:lpstr>
      <vt:lpstr>'Cuotas GNP p2 11 y 12'!Área_de_impresión</vt:lpstr>
      <vt:lpstr>'Cuotas GNP p2 13'!Área_de_impresión</vt:lpstr>
      <vt:lpstr>'Cuotas QT'!Área_de_impresión</vt:lpstr>
      <vt:lpstr>'FACTOR GNP LP p2 11 y 12'!Área_de_impresión</vt:lpstr>
      <vt:lpstr>'FACTOR LP GNP p1 11 y 12'!Área_de_impresión</vt:lpstr>
      <vt:lpstr>'FACTOR LP GNP p1 13'!Área_de_impresión</vt:lpstr>
      <vt:lpstr>'FACTOR LP GNP p2 13'!Área_de_impresión</vt:lpstr>
      <vt:lpstr>'RECARGO P FRACC GNP p1 11 y 12'!Área_de_impresión</vt:lpstr>
      <vt:lpstr>'RECARGO P FRACC GNP p1 13'!Área_de_impresión</vt:lpstr>
      <vt:lpstr>'RECARGO P FRACC GNP p2 11 y 12'!Área_de_impresión</vt:lpstr>
      <vt:lpstr>'RECARGO P FRACC GNP p2 13'!Área_de_impresión</vt:lpstr>
      <vt:lpstr>'TABLA FACTOR A LARGO PLAZO QT'!Área_de_impresión</vt:lpstr>
      <vt:lpstr>'TABLA FACTOR LP AXA p2 '!Área_de_impresión</vt:lpstr>
      <vt:lpstr>'TABLA FACTOR LP AXA un año '!Área_de_impresión</vt:lpstr>
      <vt:lpstr>'TABLA RECARGO P FRACC AXA p2 '!Área_de_impresión</vt:lpstr>
      <vt:lpstr>'TABLA RECARGO P FRACC AXA un añ'!Área_de_impresión</vt:lpstr>
      <vt:lpstr>'TABLA RECARGO POR PAGO FRACC QT'!Área_de_impresión</vt:lpstr>
      <vt:lpstr>Cotizador!Cotización</vt:lpstr>
    </vt:vector>
  </TitlesOfParts>
  <Company>Grupo Nacional Provincial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Distribuidos</dc:creator>
  <cp:lastModifiedBy>Roberto del Valle López</cp:lastModifiedBy>
  <cp:lastPrinted>2014-11-04T00:03:51Z</cp:lastPrinted>
  <dcterms:created xsi:type="dcterms:W3CDTF">2004-11-30T18:16:21Z</dcterms:created>
  <dcterms:modified xsi:type="dcterms:W3CDTF">2014-11-04T00:18:51Z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-316477994</vt:i4>
  </property>
  <property fmtid="{D5CDD505-2E9C-101B-9397-08002B2CF9AE}" pid="3" name="_EmailSubject">
    <vt:lpwstr>Cotizador con tarifas actuales de GNP.xls</vt:lpwstr>
  </property>
  <property fmtid="{D5CDD505-2E9C-101B-9397-08002B2CF9AE}" pid="4" name="_AuthorEmail">
    <vt:lpwstr>rvalle@conautoit.com.mx</vt:lpwstr>
  </property>
  <property fmtid="{D5CDD505-2E9C-101B-9397-08002B2CF9AE}" pid="5" name="_AuthorEmailDisplayName">
    <vt:lpwstr>Roberto Del Valle Lopez</vt:lpwstr>
  </property>
  <property fmtid="{D5CDD505-2E9C-101B-9397-08002B2CF9AE}" pid="6" name="_ReviewingToolsShownOnce">
    <vt:lpwstr/>
  </property>
</Properties>
</file>